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webextensions/webextension1.xml" ContentType="application/vnd.ms-office.webextension+xml"/>
  <Override PartName="/xl/pivotTables/pivotTable1.xml" ContentType="application/vnd.openxmlformats-officedocument.spreadsheetml.pivot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0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Letters\Excel Course\- WICASA Seminar half days\"/>
    </mc:Choice>
  </mc:AlternateContent>
  <xr:revisionPtr revIDLastSave="0" documentId="13_ncr:1_{01E7817D-4979-48CC-AFBC-79570217232B}" xr6:coauthVersionLast="46" xr6:coauthVersionMax="46" xr10:uidLastSave="{00000000-0000-0000-0000-000000000000}"/>
  <bookViews>
    <workbookView xWindow="-120" yWindow="-120" windowWidth="20730" windowHeight="11310" xr2:uid="{00000000-000D-0000-FFFF-FFFF00000000}"/>
  </bookViews>
  <sheets>
    <sheet name="Sheet1" sheetId="35" r:id="rId1"/>
    <sheet name="Basics" sheetId="5" r:id="rId2"/>
    <sheet name="Justify etc." sheetId="9" r:id="rId3"/>
    <sheet name="Sub TOtal &amp; SparkLine" sheetId="11" r:id="rId4"/>
    <sheet name="Shortcuts" sheetId="12" r:id="rId5"/>
    <sheet name="Date Formats" sheetId="13" r:id="rId6"/>
    <sheet name="Google Maps" sheetId="15" r:id="rId7"/>
    <sheet name="Ref Jan" sheetId="16" r:id="rId8"/>
    <sheet name="Ref Feb" sheetId="18" r:id="rId9"/>
    <sheet name="FEB 2" sheetId="34" r:id="rId10"/>
    <sheet name="Ref Mar" sheetId="19" r:id="rId11"/>
    <sheet name="Total" sheetId="24" r:id="rId12"/>
    <sheet name="People Graph" sheetId="21" r:id="rId13"/>
    <sheet name="Screenshot" sheetId="28" r:id="rId14"/>
    <sheet name="Emoji" sheetId="30" r:id="rId15"/>
    <sheet name="DataBars ColorScales Icons" sheetId="6" state="hidden" r:id="rId16"/>
    <sheet name="CondFormFormulas" sheetId="7" state="hidden" r:id="rId17"/>
    <sheet name="ApplianceSales" sheetId="8" state="hidden" r:id="rId18"/>
  </sheets>
  <definedNames>
    <definedName name="_xlnm._FilterDatabase" localSheetId="17" hidden="1">ApplianceSales!$A$1:$G$910</definedName>
    <definedName name="_xlnm._FilterDatabase" localSheetId="1" hidden="1">Basics!$A$1:$G$100</definedName>
    <definedName name="_xlnm._FilterDatabase" localSheetId="16" hidden="1">CondFormFormulas!$A$1:$H$742</definedName>
    <definedName name="_xlnm._FilterDatabase" localSheetId="15" hidden="1">'DataBars ColorScales Icons'!$A$1:$H$742</definedName>
    <definedName name="_xlnm._FilterDatabase" localSheetId="5" hidden="1">'Date Formats'!$A$1:$F$29</definedName>
    <definedName name="_xlnm._FilterDatabase" localSheetId="4" hidden="1">Shortcuts!$C$2:$I$4</definedName>
    <definedName name="_xlnm._FilterDatabase" localSheetId="3" hidden="1">'Sub TOtal &amp; SparkLine'!$A$2:$R$6</definedName>
    <definedName name="_xlchart.v5.0" hidden="1">'Google Maps'!$A$2</definedName>
    <definedName name="_xlchart.v5.1" hidden="1">'Google Maps'!$A$3:$A$13</definedName>
    <definedName name="_xlchart.v5.2" hidden="1">'Google Maps'!$B$2</definedName>
    <definedName name="_xlchart.v5.3" hidden="1">'Google Maps'!$B$3:$B$13</definedName>
    <definedName name="_xlcn.WorksheetConnection_GoogleMapsA1B141" hidden="1">'Google Maps'!$A$2:$B$14</definedName>
    <definedName name="ee" localSheetId="1" hidden="1">{"FirstQ",#N/A,FALSE,"Budget2000";"SecondQ",#N/A,FALSE,"Budget2000";"Summary",#N/A,FALSE,"Budget2000"}</definedName>
    <definedName name="ee" localSheetId="16" hidden="1">{"FirstQ",#N/A,FALSE,"Budget2000";"SecondQ",#N/A,FALSE,"Budget2000";"Summary",#N/A,FALSE,"Budget2000"}</definedName>
    <definedName name="ee" localSheetId="15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_xlnm.Extract" localSheetId="17">ApplianceSales!#REF!</definedName>
    <definedName name="k" localSheetId="1" hidden="1">{"FirstQ",#N/A,FALSE,"Budget2000";"SecondQ",#N/A,FALSE,"Budget2000";"Summary",#N/A,FALSE,"Budget2000"}</definedName>
    <definedName name="k" localSheetId="16" hidden="1">{"FirstQ",#N/A,FALSE,"Budget2000";"SecondQ",#N/A,FALSE,"Budget2000";"Summary",#N/A,FALSE,"Budget2000"}</definedName>
    <definedName name="k" localSheetId="15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1" hidden="1">{"FirstQ",#N/A,FALSE,"Budget2000";"SecondQ",#N/A,FALSE,"Budget2000";"Summary",#N/A,FALSE,"Budget2000"}</definedName>
    <definedName name="q" localSheetId="16" hidden="1">{"FirstQ",#N/A,FALSE,"Budget2000";"SecondQ",#N/A,FALSE,"Budget2000";"Summary",#N/A,FALSE,"Budget2000"}</definedName>
    <definedName name="q" localSheetId="15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1" hidden="1">{"FirstQ",#N/A,FALSE,"Budget2000";"SecondQ",#N/A,FALSE,"Budget2000"}</definedName>
    <definedName name="rr" localSheetId="16" hidden="1">{"FirstQ",#N/A,FALSE,"Budget2000";"SecondQ",#N/A,FALSE,"Budget2000"}</definedName>
    <definedName name="rr" localSheetId="15" hidden="1">{"FirstQ",#N/A,FALSE,"Budget2000";"SecondQ",#N/A,FALSE,"Budget2000"}</definedName>
    <definedName name="rr" hidden="1">{"FirstQ",#N/A,FALSE,"Budget2000";"SecondQ",#N/A,FALSE,"Budget2000"}</definedName>
    <definedName name="rrr" localSheetId="1" hidden="1">{"AllDetail",#N/A,FALSE,"Research Budget";"1stQuarter",#N/A,FALSE,"Research Budget";"2nd Quarter",#N/A,FALSE,"Research Budget";"Summary",#N/A,FALSE,"Research Budget"}</definedName>
    <definedName name="rrr" localSheetId="16" hidden="1">{"AllDetail",#N/A,FALSE,"Research Budget";"1stQuarter",#N/A,FALSE,"Research Budget";"2nd Quarter",#N/A,FALSE,"Research Budget";"Summary",#N/A,FALSE,"Research Budget"}</definedName>
    <definedName name="rrr" localSheetId="15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ales" localSheetId="17">ApplianceSales!#REF!</definedName>
    <definedName name="Sales">#REF!</definedName>
    <definedName name="wrn.AllData." localSheetId="1" hidden="1">{"FirstQ",#N/A,FALSE,"Budget2000";"SecondQ",#N/A,FALSE,"Budget2000";"Summary",#N/A,FALSE,"Budget2000"}</definedName>
    <definedName name="wrn.AllData." localSheetId="16" hidden="1">{"FirstQ",#N/A,FALSE,"Budget2000";"SecondQ",#N/A,FALSE,"Budget2000";"Summary",#N/A,FALSE,"Budget2000"}</definedName>
    <definedName name="wrn.AllData." localSheetId="15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1" hidden="1">{"FirstQ",#N/A,FALSE,"Budget2000";"SecondQ",#N/A,FALSE,"Budget2000"}</definedName>
    <definedName name="wrn.FirstHalf." localSheetId="16" hidden="1">{"FirstQ",#N/A,FALSE,"Budget2000";"SecondQ",#N/A,FALSE,"Budget2000"}</definedName>
    <definedName name="wrn.FirstHalf." localSheetId="15" hidden="1">{"FirstQ",#N/A,FALSE,"Budget2000";"SecondQ",#N/A,FALSE,"Budget2000"}</definedName>
    <definedName name="wrn.FirstHalf." hidden="1">{"FirstQ",#N/A,FALSE,"Budget2000";"SecondQ",#N/A,FALSE,"Budget2000"}</definedName>
    <definedName name="x" localSheetId="1" hidden="1">{"FirstQ",#N/A,FALSE,"Budget2000";"SecondQ",#N/A,FALSE,"Budget2000";"Summary",#N/A,FALSE,"Budget2000"}</definedName>
    <definedName name="x" localSheetId="16" hidden="1">{"FirstQ",#N/A,FALSE,"Budget2000";"SecondQ",#N/A,FALSE,"Budget2000";"Summary",#N/A,FALSE,"Budget2000"}</definedName>
    <definedName name="x" localSheetId="15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1" hidden="1">{"AllDetail",#N/A,FALSE,"Research Budget";"1stQuarter",#N/A,FALSE,"Research Budget";"2nd Quarter",#N/A,FALSE,"Research Budget";"Summary",#N/A,FALSE,"Research Budget"}</definedName>
    <definedName name="xxxxxxxxxxxxxxxxxxx" localSheetId="16" hidden="1">{"AllDetail",#N/A,FALSE,"Research Budget";"1stQuarter",#N/A,FALSE,"Research Budget";"2nd Quarter",#N/A,FALSE,"Research Budget";"Summary",#N/A,FALSE,"Research Budget"}</definedName>
    <definedName name="xxxxxxxxxxxxxxxxxxx" localSheetId="15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FilterData" localSheetId="1" hidden="1">Basics!$A$1:$E$742</definedName>
    <definedName name="Z_32E1B1E0_F29A_4FB3_9E7F_F78F245BC75E_.wvu.FilterData" localSheetId="16" hidden="1">CondFormFormulas!$A$1:$G$742</definedName>
    <definedName name="Z_32E1B1E0_F29A_4FB3_9E7F_F78F245BC75E_.wvu.FilterData" localSheetId="15" hidden="1">'DataBars ColorScales Icons'!$A$1:$G$742</definedName>
    <definedName name="Z_32E1B1E0_F29A_4FB3_9E7F_F78F245BC75E_.wvu.PrintArea" localSheetId="1" hidden="1">Basics!$A$1:$E$742</definedName>
    <definedName name="Z_32E1B1E0_F29A_4FB3_9E7F_F78F245BC75E_.wvu.PrintArea" localSheetId="16" hidden="1">CondFormFormulas!$A$1:$G$742</definedName>
    <definedName name="Z_32E1B1E0_F29A_4FB3_9E7F_F78F245BC75E_.wvu.PrintArea" localSheetId="15" hidden="1">'DataBars ColorScales Icons'!$A$1:$G$742</definedName>
    <definedName name="Z_32E1B1E0_F29A_4FB3_9E7F_F78F245BC75E_.wvu.PrintTitles" localSheetId="1" hidden="1">Basics!$1:$1</definedName>
    <definedName name="Z_32E1B1E0_F29A_4FB3_9E7F_F78F245BC75E_.wvu.PrintTitles" localSheetId="16" hidden="1">CondFormFormulas!$1:$1</definedName>
    <definedName name="Z_32E1B1E0_F29A_4FB3_9E7F_F78F245BC75E_.wvu.PrintTitles" localSheetId="15" hidden="1">'DataBars ColorScales Icons'!$1:$1</definedName>
  </definedNames>
  <calcPr calcId="191029"/>
  <pivotCaches>
    <pivotCache cacheId="0" r:id="rId19"/>
  </pivotCaches>
  <extLst>
    <ext xmlns:x15="http://schemas.microsoft.com/office/spreadsheetml/2010/11/main" uri="{FCE2AD5D-F65C-4FA6-A056-5C36A1767C68}">
      <x15:dataModel>
        <x15:modelTables>
          <x15:modelTable id="Range" name="Range" connection="WorksheetConnection_Google Maps!$A$1:$B$14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" i="24" l="1"/>
  <c r="B17" i="24"/>
  <c r="B15" i="34"/>
  <c r="M5" i="9" l="1"/>
  <c r="M4" i="9"/>
  <c r="M3" i="9"/>
  <c r="M2" i="9"/>
  <c r="Q8" i="8" l="1"/>
  <c r="Q9" i="8"/>
  <c r="D100" i="6"/>
  <c r="D99" i="6"/>
  <c r="D98" i="6"/>
  <c r="D97" i="6"/>
  <c r="D96" i="6"/>
  <c r="D95" i="6"/>
  <c r="D94" i="6"/>
  <c r="D93" i="6"/>
  <c r="D92" i="6"/>
  <c r="D91" i="6"/>
  <c r="D90" i="6"/>
  <c r="D89" i="6"/>
  <c r="D88" i="6"/>
  <c r="D87" i="6"/>
  <c r="D86" i="6"/>
  <c r="D85" i="6"/>
  <c r="D84" i="6"/>
  <c r="D83" i="6"/>
  <c r="D82" i="6"/>
  <c r="D81" i="6"/>
  <c r="D80" i="6"/>
  <c r="D79" i="6"/>
  <c r="D78" i="6"/>
  <c r="D77" i="6"/>
  <c r="D76" i="6"/>
  <c r="D75" i="6"/>
  <c r="D74" i="6"/>
  <c r="D73" i="6"/>
  <c r="D72" i="6"/>
  <c r="D71" i="6"/>
  <c r="D70" i="6"/>
  <c r="D69" i="6"/>
  <c r="D68" i="6"/>
  <c r="D67" i="6"/>
  <c r="D66" i="6"/>
  <c r="D65" i="6"/>
  <c r="D64" i="6"/>
  <c r="D63" i="6"/>
  <c r="D62" i="6"/>
  <c r="D61" i="6"/>
  <c r="D60" i="6"/>
  <c r="D59" i="6"/>
  <c r="D58" i="6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D3" i="6"/>
  <c r="D2" i="6"/>
  <c r="C93" i="5"/>
  <c r="C100" i="5"/>
  <c r="C99" i="5"/>
  <c r="C98" i="5"/>
  <c r="C97" i="5"/>
  <c r="C96" i="5"/>
  <c r="C95" i="5"/>
  <c r="C94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8" i="5"/>
  <c r="C77" i="5"/>
  <c r="C76" i="5"/>
  <c r="C75" i="5"/>
  <c r="C74" i="5"/>
  <c r="C73" i="5"/>
  <c r="C72" i="5"/>
  <c r="C71" i="5"/>
  <c r="C70" i="5"/>
  <c r="C69" i="5"/>
  <c r="C68" i="5"/>
  <c r="C67" i="5"/>
  <c r="C66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C45" i="5"/>
  <c r="C44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C4" i="5"/>
  <c r="C3" i="5"/>
  <c r="C2" i="5"/>
  <c r="Y3" i="8" l="1"/>
  <c r="E100" i="7" l="1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E2" i="7"/>
  <c r="E30" i="6"/>
  <c r="E37" i="6"/>
  <c r="E48" i="6"/>
  <c r="E63" i="6"/>
  <c r="E68" i="6"/>
  <c r="E64" i="6"/>
  <c r="E12" i="6"/>
  <c r="E100" i="6"/>
  <c r="E96" i="6"/>
  <c r="E17" i="6"/>
  <c r="E31" i="6"/>
  <c r="E55" i="6"/>
  <c r="E43" i="6"/>
  <c r="E46" i="6"/>
  <c r="E86" i="6"/>
  <c r="E4" i="6"/>
  <c r="E60" i="6"/>
  <c r="E81" i="6"/>
  <c r="E13" i="6"/>
  <c r="E67" i="6"/>
  <c r="E36" i="6"/>
  <c r="E61" i="6"/>
  <c r="E53" i="6"/>
  <c r="E41" i="6"/>
  <c r="E65" i="6"/>
  <c r="E93" i="6"/>
  <c r="E73" i="6"/>
  <c r="E66" i="6"/>
  <c r="E16" i="6"/>
  <c r="E95" i="6"/>
  <c r="E77" i="6"/>
  <c r="E34" i="6"/>
  <c r="E9" i="6"/>
  <c r="E72" i="6"/>
  <c r="E83" i="6"/>
  <c r="E35" i="6"/>
  <c r="E87" i="6"/>
  <c r="E90" i="6"/>
  <c r="E80" i="6"/>
  <c r="E69" i="6"/>
  <c r="E76" i="6"/>
  <c r="E38" i="6"/>
  <c r="E39" i="6"/>
  <c r="E71" i="6"/>
  <c r="E75" i="6"/>
  <c r="E6" i="6"/>
  <c r="E28" i="6"/>
  <c r="E33" i="6"/>
  <c r="E84" i="6"/>
  <c r="E20" i="6"/>
  <c r="E32" i="6"/>
  <c r="E52" i="6"/>
  <c r="E11" i="6"/>
  <c r="E59" i="6"/>
  <c r="E8" i="6"/>
  <c r="E91" i="6"/>
  <c r="E29" i="6"/>
  <c r="E99" i="6"/>
  <c r="E92" i="6"/>
  <c r="E44" i="6"/>
  <c r="E56" i="6"/>
  <c r="E14" i="6"/>
  <c r="E3" i="6"/>
  <c r="E70" i="6"/>
  <c r="E97" i="6"/>
  <c r="E79" i="6"/>
  <c r="E58" i="6"/>
  <c r="E50" i="6"/>
  <c r="E15" i="6"/>
  <c r="E25" i="6"/>
  <c r="E54" i="6"/>
  <c r="E78" i="6"/>
  <c r="E45" i="6"/>
  <c r="E89" i="6"/>
  <c r="E82" i="6"/>
  <c r="E51" i="6"/>
  <c r="E21" i="6"/>
  <c r="E5" i="6"/>
  <c r="E40" i="6"/>
  <c r="E2" i="6"/>
  <c r="E88" i="6"/>
  <c r="E42" i="6"/>
  <c r="E24" i="6"/>
  <c r="E10" i="6"/>
  <c r="E23" i="6"/>
  <c r="E62" i="6"/>
  <c r="E7" i="6"/>
  <c r="E74" i="6"/>
  <c r="E98" i="6"/>
  <c r="E26" i="6"/>
  <c r="E22" i="6"/>
  <c r="E94" i="6"/>
  <c r="E47" i="6"/>
  <c r="E49" i="6"/>
  <c r="E57" i="6"/>
  <c r="E19" i="6"/>
  <c r="E27" i="6"/>
  <c r="E18" i="6"/>
  <c r="E85" i="6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H14" i="12" s="1"/>
  <c r="D4" i="5"/>
  <c r="D3" i="5"/>
  <c r="D2" i="5"/>
  <c r="B4" i="18"/>
  <c r="B4" i="19"/>
  <c r="B15" i="16"/>
  <c r="B15" i="19" l="1"/>
  <c r="B15" i="18"/>
  <c r="B15" i="24"/>
  <c r="B18" i="24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57FE1A6-A924-4A66-AF9C-D95B702FE9E6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150679A9-4D3A-41CA-A74B-EB1B9E3E97C3}" name="WorksheetConnection_Google Maps!$A$1:$B$14" type="102" refreshedVersion="6" minRefreshableVersion="5">
    <extLst>
      <ext xmlns:x15="http://schemas.microsoft.com/office/spreadsheetml/2010/11/main" uri="{DE250136-89BD-433C-8126-D09CA5730AF9}">
        <x15:connection id="Range">
          <x15:rangePr sourceName="_xlcn.WorksheetConnection_GoogleMapsA1B141"/>
        </x15:connection>
      </ext>
    </extLst>
  </connection>
</connections>
</file>

<file path=xl/sharedStrings.xml><?xml version="1.0" encoding="utf-8"?>
<sst xmlns="http://schemas.openxmlformats.org/spreadsheetml/2006/main" count="4276" uniqueCount="501">
  <si>
    <t>Employee Name</t>
  </si>
  <si>
    <t>SS#</t>
  </si>
  <si>
    <t>Phone</t>
  </si>
  <si>
    <t>Hire Date</t>
  </si>
  <si>
    <t>Years</t>
  </si>
  <si>
    <t>Performance</t>
  </si>
  <si>
    <t>Ramsey, Nathaniel</t>
  </si>
  <si>
    <t>Guerrero, Laura</t>
  </si>
  <si>
    <t>Maldonado, Robert</t>
  </si>
  <si>
    <t>Clarke, Dennis</t>
  </si>
  <si>
    <t>Osborne, Bill</t>
  </si>
  <si>
    <t>Jackson, Eric</t>
  </si>
  <si>
    <t>Olson, Melanie</t>
  </si>
  <si>
    <t>Hoffman, Brian D</t>
  </si>
  <si>
    <t>Long, Gary</t>
  </si>
  <si>
    <t>Blair, Sperry</t>
  </si>
  <si>
    <t>Luna, Rodney</t>
  </si>
  <si>
    <t>Bryant, Douglas</t>
  </si>
  <si>
    <t>Smith, Koleen</t>
  </si>
  <si>
    <t>Kent, Angus</t>
  </si>
  <si>
    <t>Robles, Charles</t>
  </si>
  <si>
    <t>Green, Kim</t>
  </si>
  <si>
    <t>Savage, John</t>
  </si>
  <si>
    <t>Davidson, Jaime</t>
  </si>
  <si>
    <t>Morse, Michael</t>
  </si>
  <si>
    <t>Barrett, John</t>
  </si>
  <si>
    <t>Giles, Kathleen</t>
  </si>
  <si>
    <t>Estes, Mary</t>
  </si>
  <si>
    <t>Pope, Duane</t>
  </si>
  <si>
    <t>Johnston, Daniel</t>
  </si>
  <si>
    <t>Farrell, Laura</t>
  </si>
  <si>
    <t>Carey, Andrea</t>
  </si>
  <si>
    <t>Mercado, David</t>
  </si>
  <si>
    <t>Zimmerman, Julian</t>
  </si>
  <si>
    <t>Rowe, Ken</t>
  </si>
  <si>
    <t>Saunders, Corey</t>
  </si>
  <si>
    <t>Day, David</t>
  </si>
  <si>
    <t>Walker, Mike</t>
  </si>
  <si>
    <t>Castro, Christopher</t>
  </si>
  <si>
    <t>Logan, Karen</t>
  </si>
  <si>
    <t>Jordan, Mark</t>
  </si>
  <si>
    <t>Ball, Kirk</t>
  </si>
  <si>
    <t>Reed, Larry</t>
  </si>
  <si>
    <t>Delgado, Dale</t>
  </si>
  <si>
    <t>Pennington, Gary</t>
  </si>
  <si>
    <t>Jenkins, Scott</t>
  </si>
  <si>
    <t>Charles, Jeffrey</t>
  </si>
  <si>
    <t>McCoy, Preston</t>
  </si>
  <si>
    <t>Christensen, Jill</t>
  </si>
  <si>
    <t>Drake, Kyle</t>
  </si>
  <si>
    <t>Dawson, Jonathan</t>
  </si>
  <si>
    <t>Obrien, Madelyn</t>
  </si>
  <si>
    <t>Huff, Erik</t>
  </si>
  <si>
    <t>Bradley, David</t>
  </si>
  <si>
    <t>McLaughlin, Edward</t>
  </si>
  <si>
    <t>Morrow, Richard</t>
  </si>
  <si>
    <t>Bishop, Juan</t>
  </si>
  <si>
    <t>Serrano, Al</t>
  </si>
  <si>
    <t>Greene, Alexander</t>
  </si>
  <si>
    <t>Garner, Terry</t>
  </si>
  <si>
    <t>Craig, Alan</t>
  </si>
  <si>
    <t>Wall, John</t>
  </si>
  <si>
    <t>Dodson, David</t>
  </si>
  <si>
    <t>Collier, Dean</t>
  </si>
  <si>
    <t>Mosley, Michael</t>
  </si>
  <si>
    <t>Walls, Brian</t>
  </si>
  <si>
    <t>Merritt, Kevin</t>
  </si>
  <si>
    <t>Douglas, Kenneth</t>
  </si>
  <si>
    <t>Norman, Rita</t>
  </si>
  <si>
    <t>McCullough, Scott</t>
  </si>
  <si>
    <t>Foster, Blane</t>
  </si>
  <si>
    <t>Shaw, Pat</t>
  </si>
  <si>
    <t>Estrada, Joan</t>
  </si>
  <si>
    <t>Oneal, William</t>
  </si>
  <si>
    <t>Humphrey, Andrew</t>
  </si>
  <si>
    <t>Pruitt, Randy</t>
  </si>
  <si>
    <t>House, Paul</t>
  </si>
  <si>
    <t>Carr, Susan</t>
  </si>
  <si>
    <t>Morrison, Julie</t>
  </si>
  <si>
    <t>Acosta, Robert</t>
  </si>
  <si>
    <t>Prince, Robert</t>
  </si>
  <si>
    <t>Roberts, Jackie</t>
  </si>
  <si>
    <t>Doyle, Leslie</t>
  </si>
  <si>
    <t>Wilcox, Robert</t>
  </si>
  <si>
    <t>Beasley, Timothy</t>
  </si>
  <si>
    <t>Morgan, Patricia</t>
  </si>
  <si>
    <t>Henderson, Anthony</t>
  </si>
  <si>
    <t>Chang, Gabriel</t>
  </si>
  <si>
    <t>Stone, Brian</t>
  </si>
  <si>
    <t>Castillo, Sheri</t>
  </si>
  <si>
    <t>Ashley, Michael</t>
  </si>
  <si>
    <t>Bradford, Raymond</t>
  </si>
  <si>
    <t>Callahan, Marilyn</t>
  </si>
  <si>
    <t>Gates, Anne</t>
  </si>
  <si>
    <t>Walton, Benjamin</t>
  </si>
  <si>
    <t>Kennedy, Kimberly</t>
  </si>
  <si>
    <t>Ingram, Matt</t>
  </si>
  <si>
    <t>Fischer, David</t>
  </si>
  <si>
    <t>Gibson, Janet</t>
  </si>
  <si>
    <t>Higgins, Angela</t>
  </si>
  <si>
    <t>Sims, Don</t>
  </si>
  <si>
    <t>Olsen, Ewan</t>
  </si>
  <si>
    <t>Thompson, John</t>
  </si>
  <si>
    <t>Colon, Donnie</t>
  </si>
  <si>
    <t>Blackwell, Brandon</t>
  </si>
  <si>
    <t>Oconnor, Kent</t>
  </si>
  <si>
    <t>Wheeler, Meegan</t>
  </si>
  <si>
    <t>Cook, Mark</t>
  </si>
  <si>
    <t>Caldwell, Pete</t>
  </si>
  <si>
    <t>Hurst, Thomas</t>
  </si>
  <si>
    <t>Weber, Larry</t>
  </si>
  <si>
    <t>Cobb, Nicole</t>
  </si>
  <si>
    <t>Warren, Jean</t>
  </si>
  <si>
    <t>Parker, Carl</t>
  </si>
  <si>
    <t>Bennett, Chris</t>
  </si>
  <si>
    <t>Dalton, Carol</t>
  </si>
  <si>
    <t>Gilmore, Terry</t>
  </si>
  <si>
    <t>Cruz, Janene</t>
  </si>
  <si>
    <t>Brown, Donald</t>
  </si>
  <si>
    <t>Livingston, Lynette</t>
  </si>
  <si>
    <t>Page, Lisa</t>
  </si>
  <si>
    <t>Morales, Linda</t>
  </si>
  <si>
    <t>Short, Timothy</t>
  </si>
  <si>
    <t>Newton, Leigh</t>
  </si>
  <si>
    <t>Conley, Mark</t>
  </si>
  <si>
    <t>Moss, Chan</t>
  </si>
  <si>
    <t>Carson, Anthony</t>
  </si>
  <si>
    <t>Jensen, Kristina</t>
  </si>
  <si>
    <t>Bowen, Kes</t>
  </si>
  <si>
    <t>Cain, Lon</t>
  </si>
  <si>
    <t>Bruce, Kevin</t>
  </si>
  <si>
    <t>Martinez, Kathleen</t>
  </si>
  <si>
    <t>Allen, Thomas</t>
  </si>
  <si>
    <t>Wiggins, Frank</t>
  </si>
  <si>
    <t>Ross, Janice</t>
  </si>
  <si>
    <t>Middleton, Jen</t>
  </si>
  <si>
    <t>Pittman, Bacardi</t>
  </si>
  <si>
    <t>Murphy, Jeff</t>
  </si>
  <si>
    <t>Campos, Richard</t>
  </si>
  <si>
    <t>McDaniel, Tamara</t>
  </si>
  <si>
    <t>Bauer, Chris</t>
  </si>
  <si>
    <t>Trevino, Gary</t>
  </si>
  <si>
    <t>Mathews, Marcia</t>
  </si>
  <si>
    <t>Fox, Ellen</t>
  </si>
  <si>
    <t>Austin, William</t>
  </si>
  <si>
    <t>Moreno, Christopher</t>
  </si>
  <si>
    <t>Vargas, Bryant</t>
  </si>
  <si>
    <t>Owens, Dwight</t>
  </si>
  <si>
    <t>Bartlett, Julia</t>
  </si>
  <si>
    <t>Roberson, Eileen</t>
  </si>
  <si>
    <t>Brock, Ensley</t>
  </si>
  <si>
    <t>Cameron, John</t>
  </si>
  <si>
    <t>Hess, Brian</t>
  </si>
  <si>
    <t>Nicholson, Lee</t>
  </si>
  <si>
    <t>Neal, Sally</t>
  </si>
  <si>
    <t>Ellis, Brenda</t>
  </si>
  <si>
    <t>Sullivan, Robert</t>
  </si>
  <si>
    <t>Carrillo, Robert</t>
  </si>
  <si>
    <t>Woodward, Timothy</t>
  </si>
  <si>
    <t>Jimenez, Dominic</t>
  </si>
  <si>
    <t>Huffman, Ignacio</t>
  </si>
  <si>
    <t>Bryan, Thomas</t>
  </si>
  <si>
    <t>Sheppard, Curtis</t>
  </si>
  <si>
    <t>Baxter, Teresa</t>
  </si>
  <si>
    <t>Sherman, Karin</t>
  </si>
  <si>
    <t>Burke, Michael</t>
  </si>
  <si>
    <t>Garrison, Christopher</t>
  </si>
  <si>
    <t>Freeman, Dennis</t>
  </si>
  <si>
    <t>Andrews, Diane</t>
  </si>
  <si>
    <t>Nichols, Nathaniel</t>
  </si>
  <si>
    <t>Burns, Fiona</t>
  </si>
  <si>
    <t>Stephens, Bonnie</t>
  </si>
  <si>
    <t>Lopez, Stephen</t>
  </si>
  <si>
    <t>Boyd, Debra</t>
  </si>
  <si>
    <t>Valdez, Ann</t>
  </si>
  <si>
    <t>Moore, Robert</t>
  </si>
  <si>
    <t>Stephenson, Matthew</t>
  </si>
  <si>
    <t>Fleming, Irv</t>
  </si>
  <si>
    <t>Pratt, Erik</t>
  </si>
  <si>
    <t>Monroe, Justin</t>
  </si>
  <si>
    <t>Keller, Jason</t>
  </si>
  <si>
    <t>Gentry, John</t>
  </si>
  <si>
    <t>Hardy, Svetlana</t>
  </si>
  <si>
    <t>Herring, Joanna</t>
  </si>
  <si>
    <t>Harmon, Paul</t>
  </si>
  <si>
    <t>Marquez, Thomas</t>
  </si>
  <si>
    <t>Santos, Garret</t>
  </si>
  <si>
    <t>Cole, Elbert</t>
  </si>
  <si>
    <t>Kim, Deborah</t>
  </si>
  <si>
    <t>Powell, Juli</t>
  </si>
  <si>
    <t>Adkins, Michael</t>
  </si>
  <si>
    <t>Sharp, Janine</t>
  </si>
  <si>
    <t>Garcia, Karen</t>
  </si>
  <si>
    <t>Mack, Barry</t>
  </si>
  <si>
    <t>Sparks, Terri</t>
  </si>
  <si>
    <t>Webb, Jim</t>
  </si>
  <si>
    <t>Figueroa, Leonard</t>
  </si>
  <si>
    <t>Warner, Stephen</t>
  </si>
  <si>
    <t>Bradshaw, Sheryl</t>
  </si>
  <si>
    <t>Hunter, Lisa</t>
  </si>
  <si>
    <t>Villarreal, Stephen</t>
  </si>
  <si>
    <t>Norris, Tamara</t>
  </si>
  <si>
    <t>Wolfe, Keith</t>
  </si>
  <si>
    <t>Armstrong, David</t>
  </si>
  <si>
    <t>Jennings, Gary</t>
  </si>
  <si>
    <t>Deleon, Jaquelyn</t>
  </si>
  <si>
    <t>Hull, Jeanne</t>
  </si>
  <si>
    <t>Sellers, William</t>
  </si>
  <si>
    <t>Powers, Tia</t>
  </si>
  <si>
    <t>Carter, Allan</t>
  </si>
  <si>
    <t>Turner, Ray</t>
  </si>
  <si>
    <t>Cohen, Bruce</t>
  </si>
  <si>
    <t>Diaz, David</t>
  </si>
  <si>
    <t>Horton, Cleatis</t>
  </si>
  <si>
    <t>Simpson, Jimmy</t>
  </si>
  <si>
    <t>Moody, Matthew</t>
  </si>
  <si>
    <t>Mason, Suzanne</t>
  </si>
  <si>
    <t>Wilkins, Jesse</t>
  </si>
  <si>
    <t>Miranda, Elena</t>
  </si>
  <si>
    <t>Frank, William</t>
  </si>
  <si>
    <t>Hood, Renee</t>
  </si>
  <si>
    <t>Graham, David</t>
  </si>
  <si>
    <t>Malone, Daniel</t>
  </si>
  <si>
    <t>West, Jeffrey</t>
  </si>
  <si>
    <t>Daniel, Robert</t>
  </si>
  <si>
    <t>Hunt, Norman</t>
  </si>
  <si>
    <t>Bullock, Greg</t>
  </si>
  <si>
    <t>Ballard, Martin</t>
  </si>
  <si>
    <t>Espinoza, Derrell</t>
  </si>
  <si>
    <t>Noble, Michael</t>
  </si>
  <si>
    <t>Leach, Jingwen</t>
  </si>
  <si>
    <t>Abbott, James</t>
  </si>
  <si>
    <t>Terry, Karin</t>
  </si>
  <si>
    <t>Camacho, Stephanie</t>
  </si>
  <si>
    <t>Gallagher, Johnson</t>
  </si>
  <si>
    <t>Chase, Troy</t>
  </si>
  <si>
    <t>Lowe, Michelle</t>
  </si>
  <si>
    <t>Rodriguez, Scott</t>
  </si>
  <si>
    <t>Mitchell, Shannon</t>
  </si>
  <si>
    <t>Todd, Steven</t>
  </si>
  <si>
    <t>Rose, Mark</t>
  </si>
  <si>
    <t>Campbell, Michael</t>
  </si>
  <si>
    <t>Robinson, John</t>
  </si>
  <si>
    <t>Gill, Douglas</t>
  </si>
  <si>
    <t>Barnett, Brenda</t>
  </si>
  <si>
    <t>Wallace, Timothy</t>
  </si>
  <si>
    <t>Rogers, Colleen</t>
  </si>
  <si>
    <t>Reeves, Greg</t>
  </si>
  <si>
    <t>Hill, Robin</t>
  </si>
  <si>
    <t>Calhoun, Dan</t>
  </si>
  <si>
    <t>Salesperson</t>
  </si>
  <si>
    <t>Product</t>
  </si>
  <si>
    <t>Region</t>
  </si>
  <si>
    <t>Customer</t>
  </si>
  <si>
    <t>Date</t>
  </si>
  <si>
    <t>Items</t>
  </si>
  <si>
    <t>Amount</t>
  </si>
  <si>
    <t>NE</t>
  </si>
  <si>
    <t>NW</t>
  </si>
  <si>
    <t>SE</t>
  </si>
  <si>
    <t>SW</t>
  </si>
  <si>
    <t>Levene, Shelley</t>
  </si>
  <si>
    <t>Dishwashers</t>
  </si>
  <si>
    <t>Kitchen Center</t>
  </si>
  <si>
    <t>Babowsky, Bill</t>
  </si>
  <si>
    <t>Loman, Willy</t>
  </si>
  <si>
    <t>Clothes Washers</t>
  </si>
  <si>
    <t>Appliance Mart</t>
  </si>
  <si>
    <t>Furn, Betty</t>
  </si>
  <si>
    <t>ElectroCity</t>
  </si>
  <si>
    <t>Tilley, Ernest</t>
  </si>
  <si>
    <t>Televisions</t>
  </si>
  <si>
    <t>Moss, Dave</t>
  </si>
  <si>
    <t>Dryers</t>
  </si>
  <si>
    <t>Popiel, Ron</t>
  </si>
  <si>
    <t>Home Emporium</t>
  </si>
  <si>
    <t>Pardo, Don</t>
  </si>
  <si>
    <t>Short, Dina</t>
  </si>
  <si>
    <t>Refrigerators</t>
  </si>
  <si>
    <t>Reimers, Ed</t>
  </si>
  <si>
    <t>Roman, Barb</t>
  </si>
  <si>
    <t>Stout, Mary</t>
  </si>
  <si>
    <t>Home USA</t>
  </si>
  <si>
    <t>Grand Total</t>
  </si>
  <si>
    <t>Sum of Items</t>
  </si>
  <si>
    <t>2016
Salary</t>
  </si>
  <si>
    <t>2015
Salary</t>
  </si>
  <si>
    <t>Order Date</t>
  </si>
  <si>
    <t>Shipping Date</t>
  </si>
  <si>
    <t>First Contact</t>
  </si>
  <si>
    <t>2015 Sales</t>
  </si>
  <si>
    <t>2016 Sales</t>
  </si>
  <si>
    <t>Jacobs, Florianne</t>
  </si>
  <si>
    <t>Nixon, Randy</t>
  </si>
  <si>
    <t>Reese, Marc</t>
  </si>
  <si>
    <t>2017 Budget Projections</t>
  </si>
  <si>
    <t xml:space="preserve">Jan </t>
  </si>
  <si>
    <t>Feb</t>
  </si>
  <si>
    <t>Mar</t>
  </si>
  <si>
    <t>1st Q</t>
  </si>
  <si>
    <t>Apr</t>
  </si>
  <si>
    <t>May</t>
  </si>
  <si>
    <t>Jun</t>
  </si>
  <si>
    <t>2nd Q</t>
  </si>
  <si>
    <t>Jul</t>
  </si>
  <si>
    <t>Aug</t>
  </si>
  <si>
    <t>Sep</t>
  </si>
  <si>
    <t>3rd Q</t>
  </si>
  <si>
    <t>Oct</t>
  </si>
  <si>
    <t>Nov</t>
  </si>
  <si>
    <t>Dec</t>
  </si>
  <si>
    <t>4th Q</t>
  </si>
  <si>
    <t>TOTAL</t>
  </si>
  <si>
    <t>Gross Revenue</t>
  </si>
  <si>
    <t>Sales</t>
  </si>
  <si>
    <t>Shipping</t>
  </si>
  <si>
    <t>Cost of Goods Sold</t>
  </si>
  <si>
    <t>Goods</t>
  </si>
  <si>
    <t>Freight</t>
  </si>
  <si>
    <t>Miscellaneous</t>
  </si>
  <si>
    <t>Cost of Goods Total</t>
  </si>
  <si>
    <t>Gross Profit</t>
  </si>
  <si>
    <t>Expenses</t>
  </si>
  <si>
    <t>Advertising</t>
  </si>
  <si>
    <t>Electricity</t>
  </si>
  <si>
    <t>Food</t>
  </si>
  <si>
    <t>Heat</t>
  </si>
  <si>
    <t>Insurance</t>
  </si>
  <si>
    <t>Interest</t>
  </si>
  <si>
    <t>Legal Services</t>
  </si>
  <si>
    <t>Office Supplies</t>
  </si>
  <si>
    <t>Rent</t>
  </si>
  <si>
    <t>Salaries</t>
  </si>
  <si>
    <t>Taxes</t>
  </si>
  <si>
    <t>Telephone</t>
  </si>
  <si>
    <t>Training</t>
  </si>
  <si>
    <t>Travel</t>
  </si>
  <si>
    <t>Utilities</t>
  </si>
  <si>
    <t>Water</t>
  </si>
  <si>
    <t>Total Expenses</t>
  </si>
  <si>
    <t>Net Profit</t>
  </si>
  <si>
    <t>Numeric Keystroke Shortcuts used with Ctrl+Shift</t>
  </si>
  <si>
    <t>~</t>
  </si>
  <si>
    <t>!</t>
  </si>
  <si>
    <t>@</t>
  </si>
  <si>
    <t>#</t>
  </si>
  <si>
    <t>$</t>
  </si>
  <si>
    <t>%</t>
  </si>
  <si>
    <t>^</t>
  </si>
  <si>
    <t>`</t>
  </si>
  <si>
    <t>General</t>
  </si>
  <si>
    <t>Number</t>
  </si>
  <si>
    <t>Time</t>
  </si>
  <si>
    <t>Currency</t>
  </si>
  <si>
    <t>PerCent</t>
  </si>
  <si>
    <t>Scientific</t>
  </si>
  <si>
    <t>m/d/yyyy</t>
  </si>
  <si>
    <t>mm/dd/yyyy</t>
  </si>
  <si>
    <t>m/d/yy</t>
  </si>
  <si>
    <t>dddd, mmmm d, yyyy</t>
  </si>
  <si>
    <t>YDM</t>
  </si>
  <si>
    <t>DMY</t>
  </si>
  <si>
    <t>Performance Rank (1 to 5)</t>
  </si>
  <si>
    <t>Increase</t>
  </si>
  <si>
    <t>Maharashtra</t>
  </si>
  <si>
    <t>Gujarat</t>
  </si>
  <si>
    <t>Rajasthan</t>
  </si>
  <si>
    <t>Karnataka</t>
  </si>
  <si>
    <t>Delhi</t>
  </si>
  <si>
    <t>Row Labels</t>
  </si>
  <si>
    <t>Total Tax</t>
  </si>
  <si>
    <t>Haryana</t>
  </si>
  <si>
    <t>Himachal Pradesh</t>
  </si>
  <si>
    <t>Tamil Nadu</t>
  </si>
  <si>
    <t>Telangana</t>
  </si>
  <si>
    <t>Uttar Pradesh</t>
  </si>
  <si>
    <t>West Bengal</t>
  </si>
  <si>
    <t>Filter</t>
  </si>
  <si>
    <t>Ctrl + Shift + L</t>
  </si>
  <si>
    <t>Ctrl + Right/left/down/up Arrow</t>
  </si>
  <si>
    <t>Alt + H + O + I</t>
  </si>
  <si>
    <t>New Work book</t>
  </si>
  <si>
    <t>Proper Adjustment</t>
  </si>
  <si>
    <t>Formatting</t>
  </si>
  <si>
    <t>Ctrl + 1</t>
  </si>
  <si>
    <t>Shift + F11</t>
  </si>
  <si>
    <t>New sheet</t>
  </si>
  <si>
    <t>Print Preview</t>
  </si>
  <si>
    <t>Ctrl + F2</t>
  </si>
  <si>
    <t xml:space="preserve">Save as </t>
  </si>
  <si>
    <t>F12</t>
  </si>
  <si>
    <t>Also, show Paste values, Dragging, Format painter, Quick Analysis Tool</t>
  </si>
  <si>
    <t>January</t>
  </si>
  <si>
    <t>February</t>
  </si>
  <si>
    <t>March</t>
  </si>
  <si>
    <t>Total</t>
  </si>
  <si>
    <t>Convert</t>
  </si>
  <si>
    <t>Ctrl + N</t>
  </si>
  <si>
    <t>Place of Supply</t>
  </si>
  <si>
    <t>Jan, Feb, March Total</t>
  </si>
  <si>
    <t>Alt ;</t>
  </si>
  <si>
    <t>To check hide rows/col</t>
  </si>
  <si>
    <t>Whether Forecast</t>
  </si>
  <si>
    <t>State</t>
  </si>
  <si>
    <t>Whether</t>
  </si>
  <si>
    <t>Madhya Pradesh</t>
  </si>
  <si>
    <t>Autosum - Shift key first sheet and last sheet and enter)</t>
  </si>
  <si>
    <t>x</t>
  </si>
  <si>
    <t>GO to back link</t>
  </si>
  <si>
    <t>F5</t>
  </si>
  <si>
    <t>21092015</t>
  </si>
  <si>
    <t>10022001</t>
  </si>
  <si>
    <t>14032014</t>
  </si>
  <si>
    <t>28052001</t>
  </si>
  <si>
    <t>03011997</t>
  </si>
  <si>
    <t>29072000</t>
  </si>
  <si>
    <t>18022006</t>
  </si>
  <si>
    <t>25072000</t>
  </si>
  <si>
    <t>11052015</t>
  </si>
  <si>
    <t>30121997</t>
  </si>
  <si>
    <t>26061999</t>
  </si>
  <si>
    <t>08042003</t>
  </si>
  <si>
    <t>07052013</t>
  </si>
  <si>
    <t>29042015</t>
  </si>
  <si>
    <t>11012003</t>
  </si>
  <si>
    <t>24052001</t>
  </si>
  <si>
    <t>28092012</t>
  </si>
  <si>
    <t>25012011</t>
  </si>
  <si>
    <t>28102004</t>
  </si>
  <si>
    <t>29122015</t>
  </si>
  <si>
    <t>02081998</t>
  </si>
  <si>
    <t>03062007</t>
  </si>
  <si>
    <t>05062012</t>
  </si>
  <si>
    <t>21012003</t>
  </si>
  <si>
    <t>19091999</t>
  </si>
  <si>
    <t>17102007</t>
  </si>
  <si>
    <t>01101996</t>
  </si>
  <si>
    <t>10122011</t>
  </si>
  <si>
    <t>DELHI</t>
  </si>
  <si>
    <t>GUJARAT</t>
  </si>
  <si>
    <t>HARYANA</t>
  </si>
  <si>
    <t>CTRL + SHIFT + RIGHT ARROW</t>
  </si>
  <si>
    <t>CTRL + SHIFT + LEFT ARROW</t>
  </si>
  <si>
    <t>CTRL + SHIFT + DOWN ARROW</t>
  </si>
  <si>
    <t>CTRL + SHIFT + UP ARROW</t>
  </si>
  <si>
    <t>CTRL + RIGHT ARROW</t>
  </si>
  <si>
    <t>CTRL + LEFT ARROW</t>
  </si>
  <si>
    <t>CTRL + DOWN ARROW</t>
  </si>
  <si>
    <t>CTRL + UP ARROW</t>
  </si>
  <si>
    <t>CTRL + SHIFT + L</t>
  </si>
  <si>
    <t>India (Hindi: Bhārat), officially the Republic of India (Hindi: Bhārat</t>
  </si>
  <si>
    <t>Gaṇarājya),[20] is a country in South Asia. It is the second-most</t>
  </si>
  <si>
    <t>populous country,the seventh-largest country by area, and the most</t>
  </si>
  <si>
    <t>populous democracy in the world.</t>
  </si>
  <si>
    <t>DOUBLE CLICK PAINTER</t>
  </si>
  <si>
    <t>CTRL + SQUARE BRACKET OPEN</t>
  </si>
  <si>
    <t>F5 AND PRESS ENTER</t>
  </si>
  <si>
    <t>MAHARASHTRA</t>
  </si>
  <si>
    <t>WINDOWS + ;</t>
  </si>
  <si>
    <t>⛄⛄</t>
  </si>
  <si>
    <t>⛄⛄⛄⛄</t>
  </si>
  <si>
    <t>⛄</t>
  </si>
  <si>
    <t>20152109</t>
  </si>
  <si>
    <t>20011002</t>
  </si>
  <si>
    <t>20141403</t>
  </si>
  <si>
    <t>20012805</t>
  </si>
  <si>
    <t>19970301</t>
  </si>
  <si>
    <t>20002907</t>
  </si>
  <si>
    <t>20061802</t>
  </si>
  <si>
    <t>20002507</t>
  </si>
  <si>
    <t>20151105</t>
  </si>
  <si>
    <t>19973012</t>
  </si>
  <si>
    <t>19992606</t>
  </si>
  <si>
    <t>20030804</t>
  </si>
  <si>
    <t>20130705</t>
  </si>
  <si>
    <t>20152904</t>
  </si>
  <si>
    <t>20031101</t>
  </si>
  <si>
    <t>20012405</t>
  </si>
  <si>
    <t>20122809</t>
  </si>
  <si>
    <t>20112501</t>
  </si>
  <si>
    <t>20042810</t>
  </si>
  <si>
    <t>20152912</t>
  </si>
  <si>
    <t>19980208</t>
  </si>
  <si>
    <t>20070306</t>
  </si>
  <si>
    <t>20120506</t>
  </si>
  <si>
    <t>20032101</t>
  </si>
  <si>
    <t>19991909</t>
  </si>
  <si>
    <t>20071710</t>
  </si>
  <si>
    <t>19960110</t>
  </si>
  <si>
    <t>20111012</t>
  </si>
  <si>
    <t>Webinar by CA Vaibhav Doshi</t>
  </si>
  <si>
    <t>cavaibhavdoshi@gmail.com</t>
  </si>
  <si>
    <t>For short Excel video, please follow on below links:</t>
  </si>
  <si>
    <t>Follow me on YouTube:</t>
  </si>
  <si>
    <t>https://youtu.be/mFqbdVAM_mI</t>
  </si>
  <si>
    <t>https://www.linkedin.com/in/ca-vaibhav-doshi-30ab75124/</t>
  </si>
  <si>
    <t>Follow me on WhatsApp:</t>
  </si>
  <si>
    <t>https://chat.whatsapp.com/G29ud5uZV2N2bTfHddk2SA</t>
  </si>
  <si>
    <t>Follow me on Facebook:</t>
  </si>
  <si>
    <t>https://www.facebook.com/vaibhav.doshi.315/</t>
  </si>
  <si>
    <t>Follow me on LinkedIn: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</si>
</sst>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_(&quot;$&quot;* #,##0.00_);_(&quot;$&quot;* \(#,##0.00\);_(&quot;$&quot;* &quot;-&quot;??_);_(@_)"/>
    <numFmt numFmtId="165" formatCode="_(* #,##0_);_(* \(#,##0\);_(* &quot;-&quot;??_);_(@_)"/>
    <numFmt numFmtId="166" formatCode="000\-00\-0000"/>
    <numFmt numFmtId="167" formatCode="[&lt;=9999999]###\-####;\(###\)\ ###\-####"/>
    <numFmt numFmtId="168" formatCode="m/d/yy;@"/>
    <numFmt numFmtId="169" formatCode="[$-F800]dddd\,\ mmmm\ dd\,\ yyyy"/>
    <numFmt numFmtId="170" formatCode="mmmm\ d\,\ yyyy"/>
    <numFmt numFmtId="171" formatCode="dddd\,\ mmmm\ d\,\ yyyy"/>
    <numFmt numFmtId="172" formatCode="mm/dd/yyyy;@"/>
    <numFmt numFmtId="173" formatCode="#,##0.0"/>
    <numFmt numFmtId="174" formatCode="m/d/yyyy"/>
    <numFmt numFmtId="175" formatCode="m/d/yyyy;@"/>
  </numFmts>
  <fonts count="38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indexed="10"/>
      <name val="Calibri"/>
      <family val="2"/>
      <scheme val="minor"/>
    </font>
    <font>
      <b/>
      <sz val="16"/>
      <name val="Calibri"/>
      <family val="2"/>
    </font>
    <font>
      <i/>
      <sz val="10"/>
      <name val="Arial"/>
      <family val="2"/>
    </font>
    <font>
      <b/>
      <sz val="10"/>
      <name val="Arial"/>
      <family val="2"/>
    </font>
    <font>
      <sz val="16"/>
      <name val="Calibri"/>
      <family val="2"/>
    </font>
    <font>
      <b/>
      <sz val="14"/>
      <name val="Calibri"/>
      <family val="2"/>
    </font>
    <font>
      <sz val="14"/>
      <name val="Calibri"/>
      <family val="2"/>
    </font>
    <font>
      <sz val="14"/>
      <color theme="1"/>
      <name val="Calibri"/>
      <family val="2"/>
    </font>
    <font>
      <b/>
      <sz val="14"/>
      <color indexed="12"/>
      <name val="Calibri"/>
      <family val="2"/>
    </font>
    <font>
      <sz val="14"/>
      <color theme="0"/>
      <name val="Calibri"/>
      <family val="2"/>
    </font>
    <font>
      <b/>
      <sz val="14"/>
      <color theme="0"/>
      <name val="Calibri"/>
      <family val="2"/>
    </font>
    <font>
      <b/>
      <sz val="14"/>
      <color indexed="17"/>
      <name val="Calibri"/>
      <family val="2"/>
    </font>
    <font>
      <sz val="16"/>
      <color theme="1"/>
      <name val="Calibri"/>
      <family val="2"/>
    </font>
    <font>
      <sz val="14"/>
      <color rgb="FF222222"/>
      <name val="Arial"/>
      <family val="2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2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Britannic Bold"/>
      <family val="2"/>
    </font>
    <font>
      <u/>
      <sz val="11"/>
      <color theme="10"/>
      <name val="Calibri"/>
      <family val="2"/>
    </font>
    <font>
      <b/>
      <u/>
      <sz val="11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/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auto="1"/>
      </bottom>
      <diagonal/>
    </border>
    <border>
      <left style="thin">
        <color indexed="22"/>
      </left>
      <right style="thin">
        <color indexed="22"/>
      </right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2">
    <xf numFmtId="0" fontId="0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43" fontId="7" fillId="0" borderId="0" applyFont="0" applyFill="0" applyBorder="0" applyAlignment="0" applyProtection="0"/>
    <xf numFmtId="0" fontId="9" fillId="2" borderId="1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2" fillId="0" borderId="0"/>
    <xf numFmtId="0" fontId="6" fillId="0" borderId="0"/>
    <xf numFmtId="164" fontId="8" fillId="0" borderId="0" applyFont="0" applyFill="0" applyBorder="0" applyAlignment="0" applyProtection="0"/>
    <xf numFmtId="0" fontId="5" fillId="0" borderId="0"/>
    <xf numFmtId="0" fontId="7" fillId="0" borderId="0"/>
    <xf numFmtId="169" fontId="8" fillId="0" borderId="0"/>
    <xf numFmtId="169" fontId="9" fillId="2" borderId="1"/>
    <xf numFmtId="169" fontId="8" fillId="0" borderId="0"/>
    <xf numFmtId="169" fontId="5" fillId="0" borderId="0"/>
    <xf numFmtId="169" fontId="5" fillId="0" borderId="0"/>
    <xf numFmtId="169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169" fontId="3" fillId="0" borderId="0"/>
    <xf numFmtId="169" fontId="3" fillId="0" borderId="0"/>
    <xf numFmtId="0" fontId="3" fillId="0" borderId="0"/>
    <xf numFmtId="0" fontId="33" fillId="6" borderId="25" applyBorder="0"/>
    <xf numFmtId="0" fontId="35" fillId="6" borderId="0"/>
    <xf numFmtId="0" fontId="36" fillId="0" borderId="0" applyNumberFormat="0" applyFill="0" applyBorder="0" applyAlignment="0" applyProtection="0"/>
  </cellStyleXfs>
  <cellXfs count="200">
    <xf numFmtId="0" fontId="0" fillId="0" borderId="0" xfId="0"/>
    <xf numFmtId="0" fontId="20" fillId="5" borderId="15" xfId="16" applyNumberFormat="1" applyFont="1" applyFill="1" applyBorder="1" applyAlignment="1" applyProtection="1">
      <alignment horizontal="center" vertical="center"/>
    </xf>
    <xf numFmtId="3" fontId="20" fillId="0" borderId="0" xfId="8" applyNumberFormat="1" applyFont="1" applyFill="1" applyBorder="1" applyAlignment="1">
      <alignment horizontal="left"/>
    </xf>
    <xf numFmtId="0" fontId="10" fillId="3" borderId="2" xfId="8" applyFont="1" applyFill="1" applyBorder="1" applyAlignment="1" applyProtection="1">
      <alignment horizontal="left" vertical="top"/>
    </xf>
    <xf numFmtId="15" fontId="10" fillId="3" borderId="2" xfId="8" applyNumberFormat="1" applyFont="1" applyFill="1" applyBorder="1" applyAlignment="1" applyProtection="1">
      <alignment horizontal="right" vertical="top"/>
    </xf>
    <xf numFmtId="0" fontId="10" fillId="3" borderId="2" xfId="8" applyFont="1" applyFill="1" applyBorder="1" applyAlignment="1" applyProtection="1">
      <alignment horizontal="right" vertical="top"/>
    </xf>
    <xf numFmtId="165" fontId="10" fillId="3" borderId="2" xfId="9" applyNumberFormat="1" applyFont="1" applyFill="1" applyBorder="1" applyAlignment="1" applyProtection="1">
      <alignment horizontal="center" vertical="top" wrapText="1"/>
    </xf>
    <xf numFmtId="43" fontId="10" fillId="3" borderId="2" xfId="9" applyFont="1" applyFill="1" applyBorder="1" applyAlignment="1" applyProtection="1">
      <alignment horizontal="center" vertical="top" wrapText="1"/>
    </xf>
    <xf numFmtId="0" fontId="11" fillId="0" borderId="0" xfId="8" applyFont="1" applyProtection="1"/>
    <xf numFmtId="15" fontId="11" fillId="0" borderId="0" xfId="8" applyNumberFormat="1" applyFont="1" applyProtection="1"/>
    <xf numFmtId="165" fontId="11" fillId="0" borderId="0" xfId="9" applyNumberFormat="1" applyFont="1" applyFill="1" applyProtection="1"/>
    <xf numFmtId="165" fontId="11" fillId="0" borderId="0" xfId="9" applyNumberFormat="1" applyFont="1" applyProtection="1"/>
    <xf numFmtId="165" fontId="11" fillId="0" borderId="0" xfId="9" applyNumberFormat="1" applyFont="1" applyFill="1" applyAlignment="1" applyProtection="1"/>
    <xf numFmtId="165" fontId="11" fillId="0" borderId="0" xfId="9" applyNumberFormat="1" applyFont="1" applyAlignment="1" applyProtection="1"/>
    <xf numFmtId="15" fontId="11" fillId="0" borderId="0" xfId="9" applyNumberFormat="1" applyFont="1" applyBorder="1" applyProtection="1"/>
    <xf numFmtId="15" fontId="11" fillId="0" borderId="0" xfId="8" applyNumberFormat="1" applyFont="1" applyBorder="1" applyProtection="1"/>
    <xf numFmtId="165" fontId="11" fillId="0" borderId="0" xfId="9" applyNumberFormat="1" applyFont="1" applyFill="1" applyBorder="1" applyProtection="1"/>
    <xf numFmtId="15" fontId="11" fillId="0" borderId="0" xfId="9" applyNumberFormat="1" applyFont="1" applyProtection="1"/>
    <xf numFmtId="0" fontId="11" fillId="0" borderId="0" xfId="8" applyFont="1" applyFill="1" applyProtection="1"/>
    <xf numFmtId="166" fontId="10" fillId="3" borderId="2" xfId="8" applyNumberFormat="1" applyFont="1" applyFill="1" applyBorder="1" applyAlignment="1" applyProtection="1">
      <alignment horizontal="center" vertical="top"/>
    </xf>
    <xf numFmtId="166" fontId="11" fillId="0" borderId="0" xfId="8" applyNumberFormat="1" applyFont="1" applyAlignment="1" applyProtection="1">
      <alignment horizontal="right"/>
    </xf>
    <xf numFmtId="166" fontId="11" fillId="0" borderId="0" xfId="8" applyNumberFormat="1" applyFont="1" applyProtection="1"/>
    <xf numFmtId="167" fontId="10" fillId="3" borderId="2" xfId="8" applyNumberFormat="1" applyFont="1" applyFill="1" applyBorder="1" applyAlignment="1" applyProtection="1">
      <alignment horizontal="center" vertical="top"/>
    </xf>
    <xf numFmtId="167" fontId="11" fillId="0" borderId="0" xfId="8" applyNumberFormat="1" applyFont="1" applyAlignment="1" applyProtection="1">
      <alignment horizontal="right"/>
    </xf>
    <xf numFmtId="167" fontId="11" fillId="0" borderId="0" xfId="8" applyNumberFormat="1" applyFont="1" applyProtection="1"/>
    <xf numFmtId="167" fontId="13" fillId="0" borderId="0" xfId="0" applyNumberFormat="1" applyFont="1" applyAlignment="1" applyProtection="1">
      <alignment horizontal="right"/>
    </xf>
    <xf numFmtId="3" fontId="10" fillId="3" borderId="2" xfId="8" applyNumberFormat="1" applyFont="1" applyFill="1" applyBorder="1" applyAlignment="1" applyProtection="1">
      <alignment horizontal="center" vertical="top"/>
    </xf>
    <xf numFmtId="3" fontId="11" fillId="0" borderId="0" xfId="9" applyNumberFormat="1" applyFont="1" applyAlignment="1" applyProtection="1">
      <alignment horizontal="center"/>
    </xf>
    <xf numFmtId="3" fontId="11" fillId="0" borderId="0" xfId="8" applyNumberFormat="1" applyFont="1" applyAlignment="1" applyProtection="1">
      <alignment horizontal="center"/>
    </xf>
    <xf numFmtId="165" fontId="11" fillId="0" borderId="0" xfId="6" applyNumberFormat="1" applyFont="1" applyFill="1" applyAlignment="1" applyProtection="1">
      <alignment horizontal="right"/>
    </xf>
    <xf numFmtId="165" fontId="11" fillId="0" borderId="0" xfId="6" applyNumberFormat="1" applyFont="1" applyAlignment="1" applyProtection="1">
      <alignment horizontal="right"/>
    </xf>
    <xf numFmtId="0" fontId="14" fillId="0" borderId="0" xfId="8" applyFont="1"/>
    <xf numFmtId="0" fontId="15" fillId="0" borderId="1" xfId="8" applyFont="1" applyBorder="1" applyAlignment="1">
      <alignment horizontal="left"/>
    </xf>
    <xf numFmtId="0" fontId="15" fillId="0" borderId="1" xfId="8" applyFont="1" applyBorder="1" applyAlignment="1">
      <alignment horizontal="center" wrapText="1"/>
    </xf>
    <xf numFmtId="165" fontId="15" fillId="0" borderId="1" xfId="9" applyNumberFormat="1" applyFont="1" applyBorder="1" applyAlignment="1">
      <alignment horizontal="right"/>
    </xf>
    <xf numFmtId="165" fontId="14" fillId="0" borderId="0" xfId="9" applyNumberFormat="1" applyFont="1"/>
    <xf numFmtId="165" fontId="14" fillId="0" borderId="0" xfId="9" applyNumberFormat="1" applyFont="1" applyBorder="1"/>
    <xf numFmtId="0" fontId="14" fillId="0" borderId="0" xfId="8" applyFont="1" applyFill="1"/>
    <xf numFmtId="168" fontId="14" fillId="0" borderId="0" xfId="8" applyNumberFormat="1" applyFont="1"/>
    <xf numFmtId="15" fontId="14" fillId="0" borderId="0" xfId="8" applyNumberFormat="1" applyFont="1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right"/>
    </xf>
    <xf numFmtId="168" fontId="11" fillId="0" borderId="0" xfId="0" applyNumberFormat="1" applyFont="1"/>
    <xf numFmtId="168" fontId="11" fillId="0" borderId="0" xfId="8" applyNumberFormat="1" applyFont="1" applyProtection="1"/>
    <xf numFmtId="0" fontId="14" fillId="4" borderId="0" xfId="8" applyFont="1" applyFill="1"/>
    <xf numFmtId="165" fontId="14" fillId="4" borderId="0" xfId="8" applyNumberFormat="1" applyFont="1" applyFill="1"/>
    <xf numFmtId="165" fontId="14" fillId="0" borderId="0" xfId="8" applyNumberFormat="1" applyFont="1" applyFill="1"/>
    <xf numFmtId="14" fontId="11" fillId="0" borderId="0" xfId="8" applyNumberFormat="1" applyFont="1" applyProtection="1"/>
    <xf numFmtId="168" fontId="11" fillId="5" borderId="0" xfId="0" applyNumberFormat="1" applyFont="1" applyFill="1" applyAlignment="1">
      <alignment horizontal="right"/>
    </xf>
    <xf numFmtId="0" fontId="11" fillId="0" borderId="0" xfId="8" applyNumberFormat="1" applyFont="1" applyProtection="1"/>
    <xf numFmtId="0" fontId="19" fillId="0" borderId="0" xfId="8" applyFont="1" applyProtection="1"/>
    <xf numFmtId="15" fontId="19" fillId="0" borderId="0" xfId="8" applyNumberFormat="1" applyFont="1" applyProtection="1"/>
    <xf numFmtId="165" fontId="19" fillId="0" borderId="0" xfId="9" applyNumberFormat="1" applyFont="1" applyFill="1" applyProtection="1"/>
    <xf numFmtId="165" fontId="19" fillId="0" borderId="0" xfId="9" applyNumberFormat="1" applyFont="1" applyFill="1" applyAlignment="1" applyProtection="1"/>
    <xf numFmtId="165" fontId="19" fillId="0" borderId="0" xfId="9" applyNumberFormat="1" applyFont="1" applyProtection="1"/>
    <xf numFmtId="3" fontId="19" fillId="0" borderId="0" xfId="9" applyNumberFormat="1" applyFont="1" applyAlignment="1" applyProtection="1">
      <alignment horizontal="center"/>
    </xf>
    <xf numFmtId="165" fontId="19" fillId="0" borderId="0" xfId="9" applyNumberFormat="1" applyFont="1" applyFill="1" applyBorder="1" applyProtection="1"/>
    <xf numFmtId="167" fontId="19" fillId="0" borderId="0" xfId="8" applyNumberFormat="1" applyFont="1" applyAlignment="1" applyProtection="1">
      <alignment horizontal="right"/>
    </xf>
    <xf numFmtId="15" fontId="19" fillId="0" borderId="0" xfId="9" applyNumberFormat="1" applyFont="1" applyBorder="1" applyProtection="1"/>
    <xf numFmtId="15" fontId="19" fillId="0" borderId="0" xfId="8" applyNumberFormat="1" applyFont="1" applyBorder="1" applyProtection="1"/>
    <xf numFmtId="15" fontId="19" fillId="0" borderId="0" xfId="9" applyNumberFormat="1" applyFont="1" applyProtection="1"/>
    <xf numFmtId="167" fontId="19" fillId="0" borderId="0" xfId="8" applyNumberFormat="1" applyFont="1" applyProtection="1"/>
    <xf numFmtId="0" fontId="19" fillId="0" borderId="0" xfId="8" applyFont="1" applyFill="1" applyProtection="1"/>
    <xf numFmtId="165" fontId="19" fillId="0" borderId="0" xfId="9" applyNumberFormat="1" applyFont="1" applyAlignment="1" applyProtection="1"/>
    <xf numFmtId="3" fontId="19" fillId="0" borderId="0" xfId="8" applyNumberFormat="1" applyFont="1" applyAlignment="1" applyProtection="1">
      <alignment horizontal="center"/>
    </xf>
    <xf numFmtId="3" fontId="21" fillId="0" borderId="0" xfId="8" applyNumberFormat="1" applyFont="1" applyFill="1" applyBorder="1"/>
    <xf numFmtId="3" fontId="21" fillId="0" borderId="0" xfId="4" applyNumberFormat="1" applyFont="1" applyFill="1" applyBorder="1"/>
    <xf numFmtId="3" fontId="20" fillId="0" borderId="0" xfId="13" applyNumberFormat="1" applyFont="1" applyFill="1" applyBorder="1" applyAlignment="1">
      <alignment horizontal="right"/>
    </xf>
    <xf numFmtId="3" fontId="20" fillId="0" borderId="0" xfId="2" applyNumberFormat="1" applyFont="1" applyFill="1" applyBorder="1"/>
    <xf numFmtId="3" fontId="22" fillId="0" borderId="0" xfId="0" applyNumberFormat="1" applyFont="1"/>
    <xf numFmtId="0" fontId="22" fillId="0" borderId="0" xfId="0" applyFont="1"/>
    <xf numFmtId="3" fontId="21" fillId="0" borderId="0" xfId="8" applyNumberFormat="1" applyFont="1"/>
    <xf numFmtId="3" fontId="20" fillId="0" borderId="4" xfId="13" applyNumberFormat="1" applyFont="1" applyFill="1" applyBorder="1" applyAlignment="1">
      <alignment horizontal="right"/>
    </xf>
    <xf numFmtId="3" fontId="21" fillId="9" borderId="5" xfId="4" applyNumberFormat="1" applyFont="1" applyFill="1" applyBorder="1" applyAlignment="1">
      <alignment horizontal="right"/>
    </xf>
    <xf numFmtId="3" fontId="20" fillId="3" borderId="4" xfId="2" applyNumberFormat="1" applyFont="1" applyFill="1" applyBorder="1" applyAlignment="1">
      <alignment horizontal="right"/>
    </xf>
    <xf numFmtId="3" fontId="23" fillId="0" borderId="0" xfId="13" applyNumberFormat="1" applyFont="1" applyFill="1" applyBorder="1" applyAlignment="1">
      <alignment horizontal="left"/>
    </xf>
    <xf numFmtId="3" fontId="24" fillId="0" borderId="0" xfId="8" applyNumberFormat="1" applyFont="1" applyFill="1" applyBorder="1"/>
    <xf numFmtId="3" fontId="24" fillId="0" borderId="6" xfId="4" applyNumberFormat="1" applyFont="1" applyFill="1" applyBorder="1" applyAlignment="1"/>
    <xf numFmtId="3" fontId="24" fillId="0" borderId="0" xfId="13" applyNumberFormat="1" applyFont="1" applyFill="1" applyBorder="1" applyAlignment="1"/>
    <xf numFmtId="3" fontId="25" fillId="0" borderId="2" xfId="2" applyNumberFormat="1" applyFont="1" applyFill="1" applyBorder="1"/>
    <xf numFmtId="3" fontId="20" fillId="0" borderId="0" xfId="13" applyNumberFormat="1" applyFont="1" applyFill="1" applyBorder="1" applyAlignment="1">
      <alignment horizontal="left" indent="3"/>
    </xf>
    <xf numFmtId="3" fontId="21" fillId="0" borderId="0" xfId="13" applyNumberFormat="1" applyFont="1" applyFill="1" applyBorder="1" applyAlignment="1"/>
    <xf numFmtId="3" fontId="21" fillId="9" borderId="2" xfId="4" applyNumberFormat="1" applyFont="1" applyFill="1" applyBorder="1" applyAlignment="1"/>
    <xf numFmtId="3" fontId="20" fillId="8" borderId="2" xfId="2" applyNumberFormat="1" applyFont="1" applyFill="1" applyBorder="1" applyAlignment="1"/>
    <xf numFmtId="3" fontId="21" fillId="0" borderId="0" xfId="9" applyNumberFormat="1" applyFont="1" applyFill="1" applyBorder="1" applyAlignment="1"/>
    <xf numFmtId="3" fontId="21" fillId="9" borderId="7" xfId="4" applyNumberFormat="1" applyFont="1" applyFill="1" applyBorder="1" applyAlignment="1"/>
    <xf numFmtId="3" fontId="20" fillId="8" borderId="7" xfId="2" applyNumberFormat="1" applyFont="1" applyFill="1" applyBorder="1" applyAlignment="1"/>
    <xf numFmtId="3" fontId="21" fillId="0" borderId="0" xfId="5" applyNumberFormat="1" applyFont="1" applyFill="1" applyBorder="1" applyAlignment="1">
      <alignment horizontal="left" indent="1"/>
    </xf>
    <xf numFmtId="3" fontId="21" fillId="0" borderId="8" xfId="5" applyNumberFormat="1" applyFont="1" applyFill="1" applyBorder="1" applyAlignment="1"/>
    <xf numFmtId="3" fontId="21" fillId="9" borderId="5" xfId="4" applyNumberFormat="1" applyFont="1" applyFill="1" applyBorder="1" applyAlignment="1"/>
    <xf numFmtId="3" fontId="20" fillId="8" borderId="9" xfId="2" applyNumberFormat="1" applyFont="1" applyFill="1" applyBorder="1" applyAlignment="1"/>
    <xf numFmtId="3" fontId="21" fillId="0" borderId="0" xfId="8" applyNumberFormat="1" applyFont="1" applyFill="1" applyBorder="1" applyAlignment="1">
      <alignment horizontal="left" indent="1"/>
    </xf>
    <xf numFmtId="3" fontId="21" fillId="0" borderId="0" xfId="8" applyNumberFormat="1" applyFont="1" applyFill="1" applyBorder="1" applyAlignment="1"/>
    <xf numFmtId="3" fontId="21" fillId="0" borderId="10" xfId="4" applyNumberFormat="1" applyFont="1" applyFill="1" applyBorder="1" applyAlignment="1"/>
    <xf numFmtId="3" fontId="20" fillId="0" borderId="11" xfId="2" applyNumberFormat="1" applyFont="1" applyFill="1" applyBorder="1" applyAlignment="1"/>
    <xf numFmtId="3" fontId="21" fillId="0" borderId="2" xfId="4" applyNumberFormat="1" applyFont="1" applyFill="1" applyBorder="1" applyAlignment="1"/>
    <xf numFmtId="3" fontId="20" fillId="0" borderId="2" xfId="2" applyNumberFormat="1" applyFont="1" applyFill="1" applyBorder="1" applyAlignment="1"/>
    <xf numFmtId="3" fontId="21" fillId="0" borderId="0" xfId="3" applyNumberFormat="1" applyFont="1" applyFill="1" applyBorder="1" applyAlignment="1">
      <alignment horizontal="left" indent="1"/>
    </xf>
    <xf numFmtId="3" fontId="21" fillId="0" borderId="12" xfId="3" applyNumberFormat="1" applyFont="1" applyFill="1" applyBorder="1" applyAlignment="1"/>
    <xf numFmtId="3" fontId="21" fillId="9" borderId="13" xfId="3" applyNumberFormat="1" applyFont="1" applyFill="1" applyBorder="1" applyAlignment="1"/>
    <xf numFmtId="3" fontId="20" fillId="8" borderId="13" xfId="2" applyNumberFormat="1" applyFont="1" applyFill="1" applyBorder="1" applyAlignment="1"/>
    <xf numFmtId="3" fontId="20" fillId="0" borderId="0" xfId="8" applyNumberFormat="1" applyFont="1"/>
    <xf numFmtId="3" fontId="21" fillId="0" borderId="6" xfId="4" applyNumberFormat="1" applyFont="1" applyFill="1" applyBorder="1" applyAlignment="1"/>
    <xf numFmtId="3" fontId="20" fillId="0" borderId="6" xfId="2" applyNumberFormat="1" applyFont="1" applyFill="1" applyBorder="1" applyAlignment="1"/>
    <xf numFmtId="3" fontId="20" fillId="0" borderId="0" xfId="13" applyNumberFormat="1" applyFont="1" applyFill="1" applyBorder="1" applyAlignment="1">
      <alignment horizontal="left" indent="1"/>
    </xf>
    <xf numFmtId="3" fontId="21" fillId="9" borderId="14" xfId="3" applyNumberFormat="1" applyFont="1" applyFill="1" applyBorder="1" applyAlignment="1"/>
    <xf numFmtId="3" fontId="20" fillId="8" borderId="14" xfId="2" applyNumberFormat="1" applyFont="1" applyFill="1" applyBorder="1" applyAlignment="1"/>
    <xf numFmtId="3" fontId="26" fillId="0" borderId="0" xfId="13" applyNumberFormat="1" applyFont="1" applyFill="1" applyBorder="1" applyAlignment="1">
      <alignment horizontal="left"/>
    </xf>
    <xf numFmtId="3" fontId="20" fillId="0" borderId="10" xfId="2" applyNumberFormat="1" applyFont="1" applyFill="1" applyBorder="1" applyAlignment="1"/>
    <xf numFmtId="3" fontId="20" fillId="0" borderId="0" xfId="1" applyNumberFormat="1" applyFont="1" applyFill="1" applyBorder="1" applyAlignment="1">
      <alignment horizontal="left" indent="1"/>
    </xf>
    <xf numFmtId="3" fontId="20" fillId="0" borderId="2" xfId="1" applyNumberFormat="1" applyFont="1" applyFill="1" applyBorder="1" applyAlignment="1"/>
    <xf numFmtId="3" fontId="20" fillId="9" borderId="2" xfId="1" applyNumberFormat="1" applyFont="1" applyFill="1" applyBorder="1" applyAlignment="1"/>
    <xf numFmtId="3" fontId="20" fillId="8" borderId="2" xfId="1" applyNumberFormat="1" applyFont="1" applyFill="1" applyBorder="1" applyAlignment="1"/>
    <xf numFmtId="0" fontId="19" fillId="0" borderId="0" xfId="0" applyFont="1"/>
    <xf numFmtId="170" fontId="19" fillId="0" borderId="0" xfId="0" applyNumberFormat="1" applyFont="1"/>
    <xf numFmtId="169" fontId="19" fillId="0" borderId="0" xfId="0" applyNumberFormat="1" applyFont="1"/>
    <xf numFmtId="0" fontId="28" fillId="0" borderId="0" xfId="0" applyFont="1"/>
    <xf numFmtId="0" fontId="20" fillId="7" borderId="3" xfId="8" applyFont="1" applyFill="1" applyBorder="1"/>
    <xf numFmtId="15" fontId="20" fillId="7" borderId="3" xfId="8" applyNumberFormat="1" applyFont="1" applyFill="1" applyBorder="1" applyAlignment="1">
      <alignment horizontal="right" vertical="top" wrapText="1"/>
    </xf>
    <xf numFmtId="0" fontId="20" fillId="7" borderId="3" xfId="8" applyFont="1" applyFill="1" applyBorder="1" applyAlignment="1">
      <alignment horizontal="right" vertical="top"/>
    </xf>
    <xf numFmtId="165" fontId="20" fillId="7" borderId="3" xfId="9" applyNumberFormat="1" applyFont="1" applyFill="1" applyBorder="1" applyAlignment="1" applyProtection="1">
      <alignment horizontal="center" vertical="top" wrapText="1"/>
    </xf>
    <xf numFmtId="43" fontId="20" fillId="7" borderId="3" xfId="9" applyFont="1" applyFill="1" applyBorder="1" applyAlignment="1" applyProtection="1">
      <alignment horizontal="center" vertical="top" wrapText="1"/>
    </xf>
    <xf numFmtId="0" fontId="21" fillId="10" borderId="16" xfId="16" applyNumberFormat="1" applyFont="1" applyFill="1" applyBorder="1" applyAlignment="1" applyProtection="1">
      <alignment horizontal="center"/>
    </xf>
    <xf numFmtId="0" fontId="21" fillId="10" borderId="17" xfId="16" applyNumberFormat="1" applyFont="1" applyFill="1" applyBorder="1" applyAlignment="1" applyProtection="1">
      <alignment horizontal="center"/>
    </xf>
    <xf numFmtId="0" fontId="21" fillId="10" borderId="18" xfId="16" applyNumberFormat="1" applyFont="1" applyFill="1" applyBorder="1" applyAlignment="1" applyProtection="1">
      <alignment horizontal="center"/>
    </xf>
    <xf numFmtId="0" fontId="21" fillId="10" borderId="19" xfId="16" applyNumberFormat="1" applyFont="1" applyFill="1" applyBorder="1" applyAlignment="1" applyProtection="1">
      <alignment horizontal="center"/>
    </xf>
    <xf numFmtId="0" fontId="21" fillId="10" borderId="20" xfId="16" applyNumberFormat="1" applyFont="1" applyFill="1" applyBorder="1" applyAlignment="1" applyProtection="1">
      <alignment horizontal="center"/>
    </xf>
    <xf numFmtId="0" fontId="21" fillId="10" borderId="21" xfId="16" applyNumberFormat="1" applyFont="1" applyFill="1" applyBorder="1" applyAlignment="1" applyProtection="1">
      <alignment horizontal="center"/>
    </xf>
    <xf numFmtId="0" fontId="21" fillId="0" borderId="3" xfId="16" applyNumberFormat="1" applyFont="1" applyBorder="1" applyAlignment="1" applyProtection="1">
      <alignment horizontal="center"/>
    </xf>
    <xf numFmtId="170" fontId="16" fillId="0" borderId="3" xfId="0" applyNumberFormat="1" applyFont="1" applyBorder="1" applyAlignment="1">
      <alignment horizontal="right"/>
    </xf>
    <xf numFmtId="0" fontId="25" fillId="6" borderId="2" xfId="8" applyFont="1" applyFill="1" applyBorder="1" applyAlignment="1" applyProtection="1">
      <alignment horizontal="left" vertical="top" wrapText="1"/>
    </xf>
    <xf numFmtId="167" fontId="25" fillId="6" borderId="2" xfId="8" applyNumberFormat="1" applyFont="1" applyFill="1" applyBorder="1" applyAlignment="1" applyProtection="1">
      <alignment horizontal="center" vertical="top"/>
    </xf>
    <xf numFmtId="15" fontId="25" fillId="6" borderId="2" xfId="8" applyNumberFormat="1" applyFont="1" applyFill="1" applyBorder="1" applyAlignment="1" applyProtection="1">
      <alignment horizontal="right" vertical="top"/>
    </xf>
    <xf numFmtId="0" fontId="25" fillId="6" borderId="2" xfId="8" applyFont="1" applyFill="1" applyBorder="1" applyAlignment="1" applyProtection="1">
      <alignment horizontal="right" vertical="top"/>
    </xf>
    <xf numFmtId="165" fontId="25" fillId="6" borderId="2" xfId="9" applyNumberFormat="1" applyFont="1" applyFill="1" applyBorder="1" applyAlignment="1" applyProtection="1">
      <alignment horizontal="center" vertical="top" wrapText="1"/>
    </xf>
    <xf numFmtId="43" fontId="25" fillId="6" borderId="2" xfId="9" applyFont="1" applyFill="1" applyBorder="1" applyAlignment="1" applyProtection="1">
      <alignment horizontal="center" vertical="top" wrapText="1"/>
    </xf>
    <xf numFmtId="3" fontId="25" fillId="6" borderId="2" xfId="8" applyNumberFormat="1" applyFont="1" applyFill="1" applyBorder="1" applyAlignment="1" applyProtection="1">
      <alignment horizontal="center" vertical="top" wrapText="1"/>
    </xf>
    <xf numFmtId="0" fontId="21" fillId="0" borderId="0" xfId="8" applyFont="1" applyProtection="1"/>
    <xf numFmtId="167" fontId="29" fillId="0" borderId="0" xfId="0" applyNumberFormat="1" applyFont="1" applyAlignment="1" applyProtection="1">
      <alignment horizontal="right"/>
    </xf>
    <xf numFmtId="15" fontId="21" fillId="0" borderId="0" xfId="8" applyNumberFormat="1" applyFont="1" applyProtection="1"/>
    <xf numFmtId="165" fontId="21" fillId="0" borderId="0" xfId="9" applyNumberFormat="1" applyFont="1" applyFill="1" applyProtection="1"/>
    <xf numFmtId="165" fontId="21" fillId="0" borderId="0" xfId="9" applyNumberFormat="1" applyFont="1" applyFill="1" applyAlignment="1" applyProtection="1"/>
    <xf numFmtId="165" fontId="21" fillId="0" borderId="0" xfId="9" applyNumberFormat="1" applyFont="1" applyProtection="1"/>
    <xf numFmtId="3" fontId="21" fillId="0" borderId="0" xfId="9" applyNumberFormat="1" applyFont="1" applyAlignment="1" applyProtection="1">
      <alignment horizontal="center"/>
    </xf>
    <xf numFmtId="165" fontId="21" fillId="0" borderId="0" xfId="9" applyNumberFormat="1" applyFont="1" applyFill="1" applyBorder="1" applyProtection="1"/>
    <xf numFmtId="2" fontId="19" fillId="0" borderId="0" xfId="0" applyNumberFormat="1" applyFont="1"/>
    <xf numFmtId="171" fontId="21" fillId="0" borderId="0" xfId="0" applyNumberFormat="1" applyFont="1"/>
    <xf numFmtId="172" fontId="21" fillId="0" borderId="0" xfId="0" applyNumberFormat="1" applyFont="1" applyAlignment="1">
      <alignment horizontal="right"/>
    </xf>
    <xf numFmtId="173" fontId="30" fillId="0" borderId="3" xfId="0" applyNumberFormat="1" applyFont="1" applyBorder="1"/>
    <xf numFmtId="173" fontId="22" fillId="0" borderId="3" xfId="0" applyNumberFormat="1" applyFont="1" applyBorder="1"/>
    <xf numFmtId="3" fontId="22" fillId="0" borderId="3" xfId="0" applyNumberFormat="1" applyFont="1" applyBorder="1"/>
    <xf numFmtId="3" fontId="30" fillId="0" borderId="3" xfId="0" applyNumberFormat="1" applyFont="1" applyBorder="1"/>
    <xf numFmtId="15" fontId="32" fillId="0" borderId="0" xfId="0" applyNumberFormat="1" applyFont="1"/>
    <xf numFmtId="0" fontId="32" fillId="0" borderId="0" xfId="0" applyFont="1"/>
    <xf numFmtId="3" fontId="0" fillId="0" borderId="0" xfId="0" applyNumberFormat="1"/>
    <xf numFmtId="4" fontId="32" fillId="0" borderId="0" xfId="0" applyNumberFormat="1" applyFont="1"/>
    <xf numFmtId="18" fontId="0" fillId="0" borderId="0" xfId="0" applyNumberFormat="1"/>
    <xf numFmtId="15" fontId="0" fillId="0" borderId="0" xfId="0" applyNumberFormat="1"/>
    <xf numFmtId="0" fontId="31" fillId="0" borderId="0" xfId="22" applyFont="1"/>
    <xf numFmtId="0" fontId="4" fillId="0" borderId="0" xfId="22"/>
    <xf numFmtId="0" fontId="31" fillId="0" borderId="3" xfId="22" applyFont="1" applyBorder="1"/>
    <xf numFmtId="0" fontId="4" fillId="0" borderId="3" xfId="22" applyBorder="1"/>
    <xf numFmtId="173" fontId="30" fillId="0" borderId="26" xfId="0" applyNumberFormat="1" applyFont="1" applyBorder="1"/>
    <xf numFmtId="173" fontId="30" fillId="0" borderId="25" xfId="0" applyNumberFormat="1" applyFont="1" applyBorder="1"/>
    <xf numFmtId="3" fontId="22" fillId="0" borderId="24" xfId="0" applyNumberFormat="1" applyFont="1" applyBorder="1"/>
    <xf numFmtId="0" fontId="0" fillId="0" borderId="0" xfId="0"/>
    <xf numFmtId="172" fontId="19" fillId="0" borderId="0" xfId="0" applyNumberFormat="1" applyFont="1" applyAlignment="1">
      <alignment horizontal="right"/>
    </xf>
    <xf numFmtId="172" fontId="27" fillId="0" borderId="0" xfId="0" applyNumberFormat="1" applyFont="1" applyAlignment="1">
      <alignment horizontal="right"/>
    </xf>
    <xf numFmtId="172" fontId="16" fillId="0" borderId="3" xfId="0" applyNumberFormat="1" applyFont="1" applyBorder="1" applyAlignment="1">
      <alignment horizontal="right"/>
    </xf>
    <xf numFmtId="168" fontId="19" fillId="0" borderId="0" xfId="0" applyNumberFormat="1" applyFont="1"/>
    <xf numFmtId="173" fontId="22" fillId="0" borderId="23" xfId="0" applyNumberFormat="1" applyFont="1" applyBorder="1"/>
    <xf numFmtId="3" fontId="22" fillId="0" borderId="0" xfId="0" applyNumberFormat="1" applyFont="1"/>
    <xf numFmtId="173" fontId="30" fillId="0" borderId="3" xfId="0" applyNumberFormat="1" applyFont="1" applyBorder="1"/>
    <xf numFmtId="173" fontId="22" fillId="0" borderId="3" xfId="0" applyNumberFormat="1" applyFont="1" applyBorder="1"/>
    <xf numFmtId="165" fontId="22" fillId="0" borderId="3" xfId="6" applyNumberFormat="1" applyFont="1" applyBorder="1"/>
    <xf numFmtId="165" fontId="30" fillId="0" borderId="3" xfId="6" applyNumberFormat="1" applyFont="1" applyBorder="1"/>
    <xf numFmtId="165" fontId="22" fillId="0" borderId="3" xfId="0" applyNumberFormat="1" applyFont="1" applyFill="1" applyBorder="1"/>
    <xf numFmtId="168" fontId="21" fillId="0" borderId="0" xfId="0" applyNumberFormat="1" applyFont="1"/>
    <xf numFmtId="0" fontId="2" fillId="0" borderId="3" xfId="22" applyFont="1" applyBorder="1"/>
    <xf numFmtId="0" fontId="2" fillId="0" borderId="0" xfId="22" applyFont="1"/>
    <xf numFmtId="17" fontId="22" fillId="0" borderId="0" xfId="0" applyNumberFormat="1" applyFont="1"/>
    <xf numFmtId="173" fontId="22" fillId="0" borderId="27" xfId="0" applyNumberFormat="1" applyFont="1" applyBorder="1"/>
    <xf numFmtId="3" fontId="22" fillId="0" borderId="22" xfId="0" applyNumberFormat="1" applyFont="1" applyBorder="1"/>
    <xf numFmtId="0" fontId="1" fillId="0" borderId="0" xfId="22" applyFont="1"/>
    <xf numFmtId="0" fontId="34" fillId="6" borderId="0" xfId="22" applyFont="1" applyFill="1"/>
    <xf numFmtId="0" fontId="34" fillId="11" borderId="0" xfId="22" applyFont="1" applyFill="1"/>
    <xf numFmtId="0" fontId="34" fillId="0" borderId="0" xfId="22" applyFont="1" applyFill="1"/>
    <xf numFmtId="174" fontId="16" fillId="0" borderId="3" xfId="0" applyNumberFormat="1" applyFont="1" applyBorder="1" applyAlignment="1">
      <alignment horizontal="right"/>
    </xf>
    <xf numFmtId="168" fontId="16" fillId="0" borderId="3" xfId="0" applyNumberFormat="1" applyFont="1" applyBorder="1" applyAlignment="1">
      <alignment horizontal="right"/>
    </xf>
    <xf numFmtId="175" fontId="21" fillId="0" borderId="0" xfId="0" applyNumberFormat="1" applyFont="1"/>
    <xf numFmtId="172" fontId="21" fillId="0" borderId="0" xfId="0" applyNumberFormat="1" applyFont="1"/>
    <xf numFmtId="15" fontId="19" fillId="0" borderId="0" xfId="0" applyNumberFormat="1" applyFont="1"/>
    <xf numFmtId="174" fontId="19" fillId="0" borderId="6" xfId="0" applyNumberFormat="1" applyFont="1" applyBorder="1" applyAlignment="1">
      <alignment horizontal="right" vertical="top"/>
    </xf>
    <xf numFmtId="172" fontId="19" fillId="0" borderId="6" xfId="0" applyNumberFormat="1" applyFont="1" applyBorder="1" applyAlignment="1">
      <alignment horizontal="right" vertical="top"/>
    </xf>
    <xf numFmtId="174" fontId="19" fillId="0" borderId="0" xfId="0" applyNumberFormat="1" applyFont="1"/>
    <xf numFmtId="172" fontId="19" fillId="0" borderId="0" xfId="0" applyNumberFormat="1" applyFont="1"/>
    <xf numFmtId="0" fontId="0" fillId="0" borderId="0" xfId="0" applyAlignment="1">
      <alignment horizontal="left"/>
    </xf>
    <xf numFmtId="0" fontId="36" fillId="0" borderId="0" xfId="31"/>
    <xf numFmtId="0" fontId="37" fillId="0" borderId="0" xfId="0" applyFont="1"/>
  </cellXfs>
  <cellStyles count="32">
    <cellStyle name="ColLevel_1" xfId="2" builtinId="2" iLevel="0"/>
    <cellStyle name="ColLevel_2" xfId="4" builtinId="2" iLevel="1"/>
    <cellStyle name="Comma" xfId="6" builtinId="3"/>
    <cellStyle name="Comma 2" xfId="9" xr:uid="{00000000-0005-0000-0000-000001000000}"/>
    <cellStyle name="Currency 2" xfId="13" xr:uid="{6C07E874-1567-4882-AF2D-88FA63211C1C}"/>
    <cellStyle name="Hyperlink" xfId="31" builtinId="8"/>
    <cellStyle name="MyBlue" xfId="7" xr:uid="{00000000-0005-0000-0000-000002000000}"/>
    <cellStyle name="MyBlue 2" xfId="17" xr:uid="{D230AF2D-ADF8-436A-9FED-C08BBB1AD387}"/>
    <cellStyle name="Normal" xfId="0" builtinId="0"/>
    <cellStyle name="Normal 2" xfId="8" xr:uid="{00000000-0005-0000-0000-000004000000}"/>
    <cellStyle name="Normal 2 2" xfId="18" xr:uid="{5238A9F0-3705-4615-9E83-27DACDDEDAE8}"/>
    <cellStyle name="Normal 3" xfId="11" xr:uid="{00000000-0005-0000-0000-000005000000}"/>
    <cellStyle name="Normal 3 2" xfId="14" xr:uid="{0FA7B9FC-E0EE-4AAA-B394-309C04BEB6B0}"/>
    <cellStyle name="Normal 3 2 2" xfId="21" xr:uid="{E9B8D050-9ACB-477A-B4E4-49B00C9903A3}"/>
    <cellStyle name="Normal 3 2 2 2" xfId="27" xr:uid="{BE623390-9894-4665-B5BC-6543B81269F1}"/>
    <cellStyle name="Normal 3 2 3" xfId="25" xr:uid="{90FF23C1-F25A-40BD-8A05-D24C1B499742}"/>
    <cellStyle name="Normal 3 3" xfId="19" xr:uid="{828F2E53-D50C-49E2-BEEC-E217E3E12A8F}"/>
    <cellStyle name="Normal 3 3 2" xfId="26" xr:uid="{7FA39AC2-E46E-4CDC-B33A-638BF8F634C1}"/>
    <cellStyle name="Normal 3 4" xfId="23" xr:uid="{35146417-1A53-4CF4-8C4D-147FBC6C3CB7}"/>
    <cellStyle name="Normal 3_CustomDateFormats" xfId="20" xr:uid="{83FFCDD2-0812-4A99-807B-AB3C375FB2DC}"/>
    <cellStyle name="Normal 4" xfId="12" xr:uid="{00000000-0005-0000-0000-000006000000}"/>
    <cellStyle name="Normal 4 2" xfId="15" xr:uid="{13994763-813E-4C0C-A019-A2B6214C531E}"/>
    <cellStyle name="Normal 4 3" xfId="24" xr:uid="{76ADFCBC-6A98-4BBF-8F9A-26D2F6BBE947}"/>
    <cellStyle name="Normal 5" xfId="16" xr:uid="{C4F6B864-2C27-45BC-80F3-7FE2A5C51E3B}"/>
    <cellStyle name="Normal 6" xfId="22" xr:uid="{48890ED9-113F-474A-83F1-F5271D4C3C14}"/>
    <cellStyle name="Normal 6 2" xfId="28" xr:uid="{F890D106-5831-428A-A81F-60659AB8185C}"/>
    <cellStyle name="Percent 2" xfId="10" xr:uid="{00000000-0005-0000-0000-000007000000}"/>
    <cellStyle name="RowLevel_1" xfId="1" builtinId="1" iLevel="0"/>
    <cellStyle name="RowLevel_2" xfId="3" builtinId="1" iLevel="1"/>
    <cellStyle name="RowLevel_3" xfId="5" builtinId="1" iLevel="2"/>
    <cellStyle name="Style 1" xfId="29" xr:uid="{A6433215-8502-4A77-A7D4-4A5D158E57D0}"/>
    <cellStyle name="TRIAL" xfId="30" xr:uid="{9AEC7BE4-861B-4227-8242-75FFADF3E7D5}"/>
  </cellStyles>
  <dxfs count="8">
    <dxf>
      <alignment horizontal="right" readingOrder="0"/>
    </dxf>
    <dxf>
      <alignment horizontal="right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none"/>
      </font>
      <numFmt numFmtId="3" formatCode="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none"/>
      </font>
      <numFmt numFmtId="173" formatCode="#,##0.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173" formatCode="#,##0.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onnections" Target="connection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29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powerPivotData" Target="model/item.data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NE - Qtr1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55</c:v>
              </c:pt>
              <c:pt idx="1">
                <c:v>96</c:v>
              </c:pt>
              <c:pt idx="2">
                <c:v>80</c:v>
              </c:pt>
              <c:pt idx="3">
                <c:v>99</c:v>
              </c:pt>
              <c:pt idx="4">
                <c:v>96</c:v>
              </c:pt>
            </c:numLit>
          </c:val>
          <c:extLst>
            <c:ext xmlns:c16="http://schemas.microsoft.com/office/drawing/2014/chart" uri="{C3380CC4-5D6E-409C-BE32-E72D297353CC}">
              <c16:uniqueId val="{00000000-706B-4931-91A7-23F49E1B8507}"/>
            </c:ext>
          </c:extLst>
        </c:ser>
        <c:ser>
          <c:idx val="1"/>
          <c:order val="1"/>
          <c:tx>
            <c:v>NE - Qtr2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48</c:v>
              </c:pt>
              <c:pt idx="1">
                <c:v>88</c:v>
              </c:pt>
              <c:pt idx="2">
                <c:v>88</c:v>
              </c:pt>
              <c:pt idx="3">
                <c:v>39</c:v>
              </c:pt>
              <c:pt idx="4">
                <c:v>98</c:v>
              </c:pt>
            </c:numLit>
          </c:val>
          <c:extLst>
            <c:ext xmlns:c16="http://schemas.microsoft.com/office/drawing/2014/chart" uri="{C3380CC4-5D6E-409C-BE32-E72D297353CC}">
              <c16:uniqueId val="{00000001-706B-4931-91A7-23F49E1B8507}"/>
            </c:ext>
          </c:extLst>
        </c:ser>
        <c:ser>
          <c:idx val="2"/>
          <c:order val="2"/>
          <c:tx>
            <c:v>NE - Qtr3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90</c:v>
              </c:pt>
              <c:pt idx="1">
                <c:v>67</c:v>
              </c:pt>
              <c:pt idx="2">
                <c:v>76</c:v>
              </c:pt>
              <c:pt idx="3">
                <c:v>116</c:v>
              </c:pt>
              <c:pt idx="4">
                <c:v>90</c:v>
              </c:pt>
            </c:numLit>
          </c:val>
          <c:extLst>
            <c:ext xmlns:c16="http://schemas.microsoft.com/office/drawing/2014/chart" uri="{C3380CC4-5D6E-409C-BE32-E72D297353CC}">
              <c16:uniqueId val="{00000002-706B-4931-91A7-23F49E1B8507}"/>
            </c:ext>
          </c:extLst>
        </c:ser>
        <c:ser>
          <c:idx val="3"/>
          <c:order val="3"/>
          <c:tx>
            <c:v>NE - Qtr4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51</c:v>
              </c:pt>
              <c:pt idx="1">
                <c:v>71</c:v>
              </c:pt>
              <c:pt idx="2">
                <c:v>92</c:v>
              </c:pt>
              <c:pt idx="3">
                <c:v>76</c:v>
              </c:pt>
              <c:pt idx="4">
                <c:v>97</c:v>
              </c:pt>
            </c:numLit>
          </c:val>
          <c:extLst>
            <c:ext xmlns:c16="http://schemas.microsoft.com/office/drawing/2014/chart" uri="{C3380CC4-5D6E-409C-BE32-E72D297353CC}">
              <c16:uniqueId val="{00000003-706B-4931-91A7-23F49E1B8507}"/>
            </c:ext>
          </c:extLst>
        </c:ser>
        <c:ser>
          <c:idx val="4"/>
          <c:order val="4"/>
          <c:tx>
            <c:v>NW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350</c:v>
              </c:pt>
              <c:pt idx="1">
                <c:v>268</c:v>
              </c:pt>
              <c:pt idx="2">
                <c:v>356</c:v>
              </c:pt>
              <c:pt idx="3">
                <c:v>327</c:v>
              </c:pt>
              <c:pt idx="4">
                <c:v>393</c:v>
              </c:pt>
            </c:numLit>
          </c:val>
          <c:extLst>
            <c:ext xmlns:c16="http://schemas.microsoft.com/office/drawing/2014/chart" uri="{C3380CC4-5D6E-409C-BE32-E72D297353CC}">
              <c16:uniqueId val="{00000004-706B-4931-91A7-23F49E1B8507}"/>
            </c:ext>
          </c:extLst>
        </c:ser>
        <c:ser>
          <c:idx val="5"/>
          <c:order val="5"/>
          <c:tx>
            <c:v>SE - Qtr1</c:v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59</c:v>
              </c:pt>
              <c:pt idx="1">
                <c:v>73</c:v>
              </c:pt>
              <c:pt idx="2">
                <c:v>109</c:v>
              </c:pt>
              <c:pt idx="3">
                <c:v>52</c:v>
              </c:pt>
              <c:pt idx="4">
                <c:v>82</c:v>
              </c:pt>
            </c:numLit>
          </c:val>
          <c:extLst>
            <c:ext xmlns:c16="http://schemas.microsoft.com/office/drawing/2014/chart" uri="{C3380CC4-5D6E-409C-BE32-E72D297353CC}">
              <c16:uniqueId val="{00000005-706B-4931-91A7-23F49E1B8507}"/>
            </c:ext>
          </c:extLst>
        </c:ser>
        <c:ser>
          <c:idx val="6"/>
          <c:order val="6"/>
          <c:tx>
            <c:v>SE - Qtr2</c:v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115</c:v>
              </c:pt>
              <c:pt idx="1">
                <c:v>79</c:v>
              </c:pt>
              <c:pt idx="2">
                <c:v>97</c:v>
              </c:pt>
              <c:pt idx="3">
                <c:v>77</c:v>
              </c:pt>
              <c:pt idx="4">
                <c:v>82</c:v>
              </c:pt>
            </c:numLit>
          </c:val>
          <c:extLst>
            <c:ext xmlns:c16="http://schemas.microsoft.com/office/drawing/2014/chart" uri="{C3380CC4-5D6E-409C-BE32-E72D297353CC}">
              <c16:uniqueId val="{00000006-706B-4931-91A7-23F49E1B8507}"/>
            </c:ext>
          </c:extLst>
        </c:ser>
        <c:ser>
          <c:idx val="7"/>
          <c:order val="7"/>
          <c:tx>
            <c:v>SE - Qtr3</c:v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75</c:v>
              </c:pt>
              <c:pt idx="1">
                <c:v>53</c:v>
              </c:pt>
              <c:pt idx="2">
                <c:v>31</c:v>
              </c:pt>
              <c:pt idx="3">
                <c:v>85</c:v>
              </c:pt>
              <c:pt idx="4">
                <c:v>112</c:v>
              </c:pt>
            </c:numLit>
          </c:val>
          <c:extLst>
            <c:ext xmlns:c16="http://schemas.microsoft.com/office/drawing/2014/chart" uri="{C3380CC4-5D6E-409C-BE32-E72D297353CC}">
              <c16:uniqueId val="{00000007-706B-4931-91A7-23F49E1B8507}"/>
            </c:ext>
          </c:extLst>
        </c:ser>
        <c:ser>
          <c:idx val="8"/>
          <c:order val="8"/>
          <c:tx>
            <c:v>SE - Qtr4</c:v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114</c:v>
              </c:pt>
              <c:pt idx="1">
                <c:v>83</c:v>
              </c:pt>
              <c:pt idx="2">
                <c:v>91</c:v>
              </c:pt>
              <c:pt idx="3">
                <c:v>78</c:v>
              </c:pt>
              <c:pt idx="4">
                <c:v>169</c:v>
              </c:pt>
            </c:numLit>
          </c:val>
          <c:extLst>
            <c:ext xmlns:c16="http://schemas.microsoft.com/office/drawing/2014/chart" uri="{C3380CC4-5D6E-409C-BE32-E72D297353CC}">
              <c16:uniqueId val="{00000008-706B-4931-91A7-23F49E1B8507}"/>
            </c:ext>
          </c:extLst>
        </c:ser>
        <c:ser>
          <c:idx val="9"/>
          <c:order val="9"/>
          <c:tx>
            <c:v>SW</c:v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414</c:v>
              </c:pt>
              <c:pt idx="1">
                <c:v>251</c:v>
              </c:pt>
              <c:pt idx="2">
                <c:v>237</c:v>
              </c:pt>
              <c:pt idx="3">
                <c:v>320</c:v>
              </c:pt>
              <c:pt idx="4">
                <c:v>273</c:v>
              </c:pt>
            </c:numLit>
          </c:val>
          <c:extLst>
            <c:ext xmlns:c16="http://schemas.microsoft.com/office/drawing/2014/chart" uri="{C3380CC4-5D6E-409C-BE32-E72D297353CC}">
              <c16:uniqueId val="{00000009-706B-4931-91A7-23F49E1B8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2262840"/>
        <c:axId val="342263232"/>
      </c:barChart>
      <c:catAx>
        <c:axId val="342262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42263232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342263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422628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NE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244</c:v>
              </c:pt>
              <c:pt idx="1">
                <c:v>322</c:v>
              </c:pt>
              <c:pt idx="2">
                <c:v>336</c:v>
              </c:pt>
              <c:pt idx="3">
                <c:v>330</c:v>
              </c:pt>
              <c:pt idx="4">
                <c:v>381</c:v>
              </c:pt>
            </c:numLit>
          </c:val>
          <c:extLst>
            <c:ext xmlns:c16="http://schemas.microsoft.com/office/drawing/2014/chart" uri="{C3380CC4-5D6E-409C-BE32-E72D297353CC}">
              <c16:uniqueId val="{00000000-7AF7-4FF2-B98C-154906C22C64}"/>
            </c:ext>
          </c:extLst>
        </c:ser>
        <c:ser>
          <c:idx val="1"/>
          <c:order val="1"/>
          <c:tx>
            <c:v>NW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350</c:v>
              </c:pt>
              <c:pt idx="1">
                <c:v>268</c:v>
              </c:pt>
              <c:pt idx="2">
                <c:v>356</c:v>
              </c:pt>
              <c:pt idx="3">
                <c:v>327</c:v>
              </c:pt>
              <c:pt idx="4">
                <c:v>393</c:v>
              </c:pt>
            </c:numLit>
          </c:val>
          <c:extLst>
            <c:ext xmlns:c16="http://schemas.microsoft.com/office/drawing/2014/chart" uri="{C3380CC4-5D6E-409C-BE32-E72D297353CC}">
              <c16:uniqueId val="{00000001-7AF7-4FF2-B98C-154906C22C64}"/>
            </c:ext>
          </c:extLst>
        </c:ser>
        <c:ser>
          <c:idx val="2"/>
          <c:order val="2"/>
          <c:tx>
            <c:v>SE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363</c:v>
              </c:pt>
              <c:pt idx="1">
                <c:v>288</c:v>
              </c:pt>
              <c:pt idx="2">
                <c:v>328</c:v>
              </c:pt>
              <c:pt idx="3">
                <c:v>292</c:v>
              </c:pt>
              <c:pt idx="4">
                <c:v>445</c:v>
              </c:pt>
            </c:numLit>
          </c:val>
          <c:extLst>
            <c:ext xmlns:c16="http://schemas.microsoft.com/office/drawing/2014/chart" uri="{C3380CC4-5D6E-409C-BE32-E72D297353CC}">
              <c16:uniqueId val="{00000002-7AF7-4FF2-B98C-154906C22C64}"/>
            </c:ext>
          </c:extLst>
        </c:ser>
        <c:ser>
          <c:idx val="3"/>
          <c:order val="3"/>
          <c:tx>
            <c:v>SW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414</c:v>
              </c:pt>
              <c:pt idx="1">
                <c:v>251</c:v>
              </c:pt>
              <c:pt idx="2">
                <c:v>237</c:v>
              </c:pt>
              <c:pt idx="3">
                <c:v>320</c:v>
              </c:pt>
              <c:pt idx="4">
                <c:v>273</c:v>
              </c:pt>
            </c:numLit>
          </c:val>
          <c:extLst>
            <c:ext xmlns:c16="http://schemas.microsoft.com/office/drawing/2014/chart" uri="{C3380CC4-5D6E-409C-BE32-E72D297353CC}">
              <c16:uniqueId val="{00000003-7AF7-4FF2-B98C-154906C22C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2265192"/>
        <c:axId val="342258528"/>
      </c:barChart>
      <c:catAx>
        <c:axId val="342265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42258528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3422585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4226519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_xlchart.v5.1</cx:f>
        <cx:nf>_xlchart.v5.0</cx:nf>
      </cx:strDim>
      <cx:numDim type="colorVal">
        <cx:f>_xlchart.v5.3</cx:f>
        <cx:nf>_xlchart.v5.2</cx:nf>
      </cx:numDim>
    </cx:data>
  </cx:chartData>
  <cx:chart>
    <cx:title pos="t" align="ctr" overlay="0"/>
    <cx:plotArea>
      <cx:plotAreaRegion>
        <cx:series layoutId="regionMap" uniqueId="{D7407E98-1817-440C-94F6-01D4CB240E6D}">
          <cx:tx>
            <cx:txData>
              <cx:f>_xlchart.v5.2</cx:f>
              <cx:v>Total Tax</cx:v>
            </cx:txData>
          </cx:tx>
          <cx:dataLabels/>
          <cx:dataId val="0"/>
          <cx:layoutPr>
            <cx:geography cultureLanguage="en-US" cultureRegion="IN" attribution="Powered by Bing">
              <cx:geoCache provider="{E9337A44-BEBE-4D9F-B70C-5C5E7DAFC167}">
                <cx:binary>1HrZjtw4tu2vGH6+ckkcJLHRdYBLSTFHzunpRUhnpilKlChx0PT1Z6erq2Fnu/vUAeoCt17CzlBQ
scW1h7UW4++P898e1fODeTO3qrN/e5x/fVs51//tl1/sY/XcPth3rXw02uqv7t2jbn/RX7/Kx+df
nszDJDvxCwoj8stj9WDc8/z2v/4OdxPP+qQfH5zU3bV/NsvNs/XK2f9w7aeX3jw8tbLLpXVGPrro
17dbXz+YB/f2zXPnpFvulv7517c/fOjtm19e3+pfvvaNgsicf4K1CL2LWURwnMQJTdII0bdvlO7E
Py4n0TvKEhamIQrDiFEc/f7VFw8tLP8D8XyL5uHpyTxbC8/z7d/vFv4QPLx///bNo/ade9kzAdv3
69t99yQf3r6RVme/Xcj0S+T7i2+P+suPu/1ff3/1Bjz8q3e+A+T1Tv1Pl/4Fj/xZVfL3LfkT0Ejf
xQTjNE1IGsUpI6/QSN5FESVJSiMavyD1Wxb8BsX/GMrPgfjHslcw5Ke/FAw3D/WDddVD9/uW/AlQ
xO9oSjACMHBI45hA5n9fGPhdSsMIpVGCU3h9jcYfiujniHy39BUqN4e/FCq7B7M8dFC6f1qzYu8i
lkZQFiFOUhKlP0ISv8MkRCT8NwXyB8L5OSD/XPgKjt3NXwqOu4dWqjcXD0/+z0Mkit6FEUUhIYjF
KCbxq4aVviNhzFJEUJQmrxrWH4vn55B8v/YVKncwF/5CE2Qn2wegDurNlXl4erbVn4cNjt4xhKF1
pVGKcAJd7MdySd4hHKMIxykJUxS+Hu3/m8B+DtK/3uEVVLurvxRUxwfTPbiH5k/saBF5l0QhSsIU
5j1FKUY/YhS/i4CZpVBY0NcQJuT39Pht5v+hiH4OzndLX6Fy/L9/KVTOD0C8H2zlzJ+JC3tHKAJI
4hDHOInZq9oBXF44MQFyDACxmP2Iyx+M6efI/LD4FTbn3V8Km7tn9dCJP5UDRMm7NAyhKDChKaKg
SX6sGPYuDGEUpYjRlAGBA47wPUv+QxH9HJfvlr5C5W77l0Ll3jmQun/6vEHxy7zBJCEJjgj5phW/
Y8xp+A5mUcQQ8IQXIfmaMf/hqH6OzqvlrxC6/2tNmg/P1r3hz1A66vf0/RMUzYtkARYABDmOcZhS
aFrf45O8YwmCugpjYHT4XyrnD8b0c3R+WPwKmw/8/+vq+TmX/F7S/PCJ/73/gqGJMeBpYcKiMIp/
ACVh74CjpUABGApf+tkrAvAPb+TfR/NzOP6x7IfA/x8bLf/ehPmnPZUDuSq++Vrf+TD/+eq3xwOz
7dXS/6Q4f9ur/RN4Xwki+Du8Xm7yw7D4Ton/y6pnMBx+fZuk76BkEkbAtaEMv0icCWr317cxEIgU
JygGk4DE5BtwnTau+vUtDsHFQYylMKZ+J3VW+5dLCL8DKUUZ9Eco0Cik9J924pVWi9DdP7fjH3+/
6Xx7pWXn7K9vSfQy7frfPvjygAmJUMSSME4TxhKQzHEI1x8fbsC0hM9H/0eH/Rx0gbMbMQ+2kF+H
VGpeDpE4z73cVqm0d61vCo+HpWjq2WdYEXlRT7dOd+rW1NGxQ/0uIgvajdg8YInWQ4tKy1tB+sKP
ccoXV/oiFc2hXAzjbY9xITS7bZEU12lKMz8nFadPXrixiNlA+NI3NJ+HauElYV9oQsun0PQbieil
dG19mogcdjiNFK/HeD3MYl13rBZnUxlUCBIGh2StC10vaR6wOMxBe9Lcd3OciWmW23Sk+BiLeT+k
ajiK0m3TNu5zuQ7DpmxqzdMl7c7CIcXLCelL6Z3hsUpMHmCy8ipZ9c2kJl8sVXDXBd16dpP+klrB
NiWp5aZLE5EtfjWfgosq3rKR0DOVacRpFS95hztzUlXtL5N1arKQdOhLxPqtNq0sENNzpk0653E6
l7lFqssdlYpPoh4vmzQs8zEdLjo0Jlc0wJ/DVNLc6QnnbkTVKSzHMusQcjs3DtzN3fpUR+lNXLbJ
jsxtdNALxJ8On8bKzp9xGxpuxq59H/m9nz09tb7TuaXUZ6hG04GMC0+aiRwbGX4J3TgVso/lVTm5
T4LUQ96Ogz+OYsb5vOocTaLcQ54rjjEqNyry1WWf2DIDgtzyaoQv69u0/lAKYov0QOdenWoWi21s
9HKo9fClJ+HTuoqWhwNGWTtnfUM2Ck/sIZAxwNzHvIu4xufalF22Tt15oSzNFzR9RoFDxwbZU6L7
ouvwlFcom5GkPK3buyW4GFtSZxGY8dSscbFEOz+S4Jj4j5EY7HZSlc3MZTArlEsxZPNimm0jh8NS
TR+rNUl2jhQqKINNqtQuncI5C4ep2tR9/GmKA3HoK1VnKR1PLEzofWvw7SBKm/spcvu56erLjhnD
AbuZM7yoTTxrn682lZugX9pdm4Z5Yz+72DJOW4SPis1jtkKMx28vZqX7vq/XzErKLqt4vgprtxg+
jUwVYuzq47AmH+0Y6KKJlTjhMui4E528aReU0T74kLRyei/XlouU9udAyG08tNXZhU8+JNWH1VLE
GQnkQceDz1vSPDQOsS8ydY9DMvY8aVXNIzd0mZ7iOLO0H7PIJuTGDh29aX15j+sqPKUVpacFLxMA
vnQnpVUhRVLdVON6VY1ddYqXz0qzCzMJ/2nqwv5CNvt+qXKc6OW5dvLeWb1cSxzdu1X294lIM7LO
C48QmrZ9t4y71LIrUhJ70r0LedpUH6GZqUucDOoyWkXCS4slXwygOCt/LV3WJ5W8DqyINixsg42V
7kjw4I6Loh8bseqjKnt9jHx0QvWybKqwTLI+pNO1cjXiS1B0XgWP3RLojMajyr13CQ99XW1WZ9es
7sbu1NnhQH3fXCFf1lff/pdaN2VStcPm23sVGscLpITinfTd5Vrplq9DtB7jABUTtICH2ZMoJwn6
kCJ3H7cJyWSqonPoJ5GlrAz2vVi7bBLyKTGszKbG0yxdyW3Tl8vRmYpmpaDTRfNBVx3Nlt7Ya836
L16QgUdkrXm7mjlPY1Fg2c6HACr3eu4Teor6m3W1S0a1Xza1EkPO+ollclDxQdaZ6ZC+SCsTXUxu
2dPWLHfQ55+wDfbG4X5jS0oyNCKyXYkeM9QozElZRptS9dHFt5c1XKMLnVY4j6Y4C8Jx3iiVjHxs
YrxJzYWJx/5gVgK3D5XMZg95TZqp5SQOUb72yPJIrBY6PqrNwcmm3TVfkGy2U5rOl36cyaYzOsir
pmiqvG5sVEyV6rdj7XZpgtKtL2nHqyqotngoJbe6dgcTrbp4aWSQzYWJscvW2LntkJLlOIar5Uo4
v+3bRnMXl8mVZh7qR/h0J8KIt1KH2VTP0W1QL4dGKpuFNtgMIdO7chlYgcQRGsFQ9DSpC+en7jIR
Ppvb7sssqyHDa1TyNkg8T2Tgrgf4Cq7MmNXpzC7GodPwrHLh1Tp+Sp17b8ic7OewWTJsuzLH8SQ5
SqAhxR3NRzLaHUt8t+kIq3dVsxbhIsKPsVzspnoYU9iptupwxhaGt4Ma5q0eZ5utw21qPLpLS+My
bKK6ULg3Wbzo8Khxcg7LUGdtirtty4JNIyvI+8bLK1UNOsPVzP0840ec5jWyZ2KE2JbTAs2+7U9N
MHxAhvaHRHdRzG2guSQlPkQDOg3D0O3IiJIjmef2EEGvc4N3528vvifuXAqkTpQ9tQ2rTyyIcmfj
cp+u0ZxZNX3VZCoz4ZPqyxQNhdTa7ofWVHnSNknma1nux3LmI7HkpFCrCtMqkql5VBfBgLOZJMEO
JjDdlh51t3PZGh7UZnoScPvayu0Spe1VgyW9bqEMAlOvJ8ifdkvaCmqyDdS2oRbyOZqCrFMyZ3UQ
nBRexBljtU0xC3ZTjHVWQfssHBXqTFtcb3RMJNfzy4ydaXAoZdjlc9XNQHNsex4dhb22w5fYDmUm
KzHuE1Q+1a2fz6qW56ozKk9GBFSmHi5iN8VF187Q3ddUwehjHE4LWVZ62W7i3j7IaDEHMXX41KoZ
Wp2oedgRf8IwIMeKvfeEBVd6CYEPeHtLA3T0PQQQyC7J4rrzJ7qsKRdeHRq7shubztFxmOw2aNEx
wEjdl7JejmINBC/90ByXQLzXDY0PVWMPaBHmuPRrwIN0vuubUd+p6xEZVVCBYCaPMUy4KWdmMu+l
VnsXE06Sx0bWflvV1G6afgo59IbPS9KN2RSGX9K1eo5MfwHgDhljIipEmHtl5aYJ2m24DJQjFDRZ
2ipRSBSs3Huyb4IJ6Cxd5G1NW3lrDM1GNWM+SzIfxuUTrel8TMnUbivJNPQqe8c6GfCopNMHVCVH
XSm27RoR7g2N9xUR9EuEhpYPNBj26RKzvDSr53NZuiJiA70m9DbppwflluFSaIQymMkdIh9kTbgX
fr6MSyP3VfBh6ZJmkwbVvjQd0DA1FSte9tbosah0A9UVrNmkxi6PWZ9CwGXPu7rseJSGDXdpbfK+
i55xgDyXo/7Q9PGuHgOb9anaAfVtdspNm5iszSGW9hnP8U1ardNHmzy2GqizF73iNpzDXVNadw5s
3eTYjZ+XNX6AgWKz2YYDt2YuCBUO6mMK+BAm0PGZgdZsP/dsSvnK5g9udmYnyxl42zJtp5VsLXRy
XsVyzxKrc6xlzYWZg6xvlx1ZnpNmgAHxcteW9Z6LSDwBh+1z3Y/bxOG7Ok2zNpKgNbSveTfCC03F
snF4up9nSq5m1j4hOqVblXTBiemwPLXyTmuznmSkhoKYYNmsGLf5GmhXlLFUm9a462USJtNLNXD4
dYPZDNMEY8UmUQFZ6i9htt+Po2y3cg2vrBrpYWITtzPB+2Se53xZb0KJ0QXQFpENNZO5HWmQ04qN
B7zE4aEL5ZSty2bRdn6w6FMV4fUYjTqnIiiBxnSmcAlFN2UVJ/uwUdd9BU86O+DIRjG06yHzNsRK
Hr0Qv2jwhjvmui0MBUSb8RAqTCGrnSoC0Utu0oqdW/Pc0mE+JF7nGubbYY7MnVpnxId06nJj4uFs
pHyvRQhZN6wDNzo2xzqpTr5fGZ+bcdxgbMqzYvVd6qsSOjQLD6grRjY/j3PlTi2jKOsGPBdjpOjB
4j5HlnWbiA5JriKDMibDrDMgStKyP4VdctevBrh4r9aMDSsCKZLch82U09kO2YT9xk3uTpeV4+na
BweV2iDzTlY5seKym+W8CeYOqjQNBJCvZDw6OoaFSFab6TQLE29uF9TycRX9se3KKlfdInLFlvUy
rCaO5DTvyYLPTSfGcxSsPZ9B6Gxba9cLosJgn5TPyaIuaYrnO2G2cHiw7to+6o7eNSU3RLQ7JslN
/SIOBBrVbaOaPqtwO3BMAp0HSbVuWx2suZGo5JhV7YYRhHnAFnv7scUjK1Q69plYQ3xOlmZXrvbj
NBlzXk37Wde0K1YStRta2otGo/li1JY3CJ7Ohl14b2oJKVblYRn5W6LTONfdrIBQBRs6jFVW11UK
TSNZuekXSKQIeloyLfbkUyBJQIjHcwVpVYOe3rsVQS+t434LZxkCSIMONiWeIYCkq7NFKnYBNC2d
6sdSVMuNF6YpZC1FVtoI9hgFETDAmp4Hgfeln+uiieLwBlVsX7fNbalH8l7BHChKvTTHskpz0hN5
LQYBbSqm9gjGguE11MsGBcFyMG25QBGCmjTl1Gc4qse993S5G8bkvlKmLda+dnyKRZC7tZoyKLDm
2NHpYSS+yaSXQRYNEzkHo4z54o3IBVNug2Myb1cH3K2dAqgc45oteAeiqN2EtlUCPSLw0WHE3m1V
4zUXQb+J1Tzw37IknHi5BuE+jJvNtKq7Ye2ax57eMNVdRbSZbrpoAJVrlpIPnpj9Gifh1kuL87WD
LDEmKJq5fKhZa3OZLJZPMu5gjpe0gJ500Ugz5iqoEO/L9riUIS3aqFE8atAzNeijm4TamSXuPtSo
4TXwPLb044ENQyZob/NU2bZI/HRexrnZOCuvfafmQqDozqKoOQRte15i/3XwtYNibdYsgiTlbSVP
Nqg3axd57uDYZC8TUIGNtgNXXV1lYovCZuZNGTCuXn5i1ULWjpN/r4dxOIzsiAK18sakjya1t4nt
IfnDx94FbRG246Ecw3kDbXE/1RHJBw0ZMydRtfM6vvepdjkCCsmnvlu5a+PHWCugJylMhRJk7nZM
V95VNco75vEh0Pi4umyMRsvtLhzJhZiedN2aHUPTTRm0DffsQ2Sj+wEI71aJ9Cogs+MdqnYGR/Qo
l5shmdeDqzEYO6S/n6qm2ygXfXIpXflQrlEWeA+3Q3VWDjbhcLZ3Ocpwt9S45UvHrpF1fpeMVS5W
vLPEd1k4WZc1OkyPS5sg0M9yvI1JaXLadIWMBvmxJpCus5B7gZDK2m6ZTzRO5lOnEbgG9b0MXzg5
8i0oHZPRyeNdPU8NZ8x2fBjZrgaGfbAHqsANAU3dF6pHXU77tuZsSZdsSeJdh6b3bBzxpmtbbqAF
DSt9dC4Ks0bp29bG6QY6bQuyL8ME9dtIisdkWR6mZQiLkABpixPC23gN87K7GugAfkVlqyuiTR4j
E+RMpjANY53wqHMRmGBoPPWBJTzANzOqkzNOheU6SqeChDLYN6Bc+mGgebzMDpoZzNcujhGfDGiR
EqxG7mMDFkgUV0Wne3wLP3/sMmIY2vqxb7eRCHegR/FjQIKes451WRPEeGujKMjIzIIT0rbhM1Bj
alJV9OswH5F3wKiW1cJSf5LxEm5mq1SRtAJvkG2HbEyCaBeUwBsG1hQLg2YTpOO6cbTfEx+Ci4nm
FdiVaTj14kW0d1sWxzwcO3o7BkG2RiFYlWJ5sokfdhNdxwK1S18gVfmtWnzFS1lVV3UKYxlsST4E
a3JZMgKWUActN3WdOcoBO14m4BuWiIJRyEnVPpQi9iD0G7tZF3rZ22HXNPRUBx7daNSOnGIPJUpB
hLlKxBxr3GwUbZ7rrvEHBNt1U6XzFZh2/WUFls5d1BaiF8u9b1O9KZ2oCjJpkTdgcOUkGN2+8uwS
TSndUbBSuNPyLh2LMCyr5zExI49RR26rql43Sb/mC23qAopjvuo+zCpeb1E8365V5pxOb3uffJ3B
ydinVVC4dm04oiDJ+9Y1hVMRUJ5uRPuhD0BjNPUBeIrPlMfxPqB1pljQXAzK5kSr6LZHTb2BgWih
UOqFm2aZz3bB0475OMjGpv4Y2EgWtm7LLTQaq5vrtay2QFb0fk1UFodxlbcwPzdrNV7OnZ94mJCK
B9BNuWF03IyiS7NxBYckmp9AO27DpnvU07hcYKB6ImlK8EnEVCQLWjMlhw14aeteDihTrQJ0PStz
oHBXfTUf5nb2nOg4LpLgnizR9doOQda4WXDLqx7tDNIxr4bS7WuKPlfdAIYdrncgeq9dEiCOJwLN
dYnnrKnc3QBJ7tfAcSPxnKW4vaVen6IEmoGbm4YHkcC8oyEpBJZH2kLnnPHItam3MNcdVNR4G7Zy
5vHSeeAWcX9uVpoZBAxH+Rb8D+qyoRrEaUwTYFrvCYv9PiwleDFoKMIYDORgnfarQw+mboaNWofN
0gArxrM123UdILQk3Q1Ty4pUlg+QIjsBtAQab701aIoymRBRlKJUnHZWgz9DroiJq6OfU7eXK9vO
04x2osdFaKzfGBQXswDvt7ZpeDGGSZuFMrryE9hKpspSUlXcVMnHqYe5CoZy0eu2PLhkuEcsFPmI
etCXE4aBhdzLWN2FjW0yFpr3/XQxMttuyjj56nvxQa812AiOgkm8lz0INqVQUFjNYjhzYHHmsas3
c/SVYFCEZEzyWCNoECuGE4hmzBdwM6qhankbkkesPN1VAnSgjMe889VmSU1cBDSqsq6lpsAdfNJj
tPIkVRsfi/B6ivB+Ca4IpvMubSvudf3JjmjmA44/67Y12xIOZnhYLQFo3SrK2kGFXNYWZxglH80s
vpRp6TZDEJZFMHrJx778JNKegFoJo0xbPGQNk0fcBsMWC33XjLHaASV4UmoYignTIfcyvZCrfBqE
9iDXyg1B5Kn5EhN33cA8DbEE9w2xZyeimzIEX4U06adFSw5OneAz9MJl1Mml7soH4yM+wqFRLmzk
8sjaGmoMpI6d2lMZqQmiUgmIL/DbOnOeTZ0nZEz5IEwJFKdrObjpI7jpcFS0aLBKwR+z760dolyT
ElqNQhshE7WdQqqBGE1HEuJ010zuhpBj2SdtASQR5C7YqQ7XzWam4L6pbv0YikXwBFzzahg3CWQZ
zJ2HCWPLYx9XwJ9DaBQ94mHJrn2ffvXThApT6wNQUJIFKooLdmek6Q6gSGwohzxk7DyJKYOf82wW
Ek98sOqsZYK3wTo/g3W3b2xtIDPoM6IjaCHqp9z1disnMmWxh5caDp2EfD+EYQXeQKt3IgDXSyuz
reVDAL72ElF1THR9FYxDm2lG+hxYzBfA/2zXs1xIU4g6At+UEh47s+ZlmXwC1fveg+C1MWSanl1f
CK8pzCogHBYKor1ADrJiTBqfz4yZzAYimwI6ARlHNdxsGnhtwK9fI3+OQAzyOIX4xQz1gPAn61ib
x8nHUmjo6Lj1vJn6OQNivPMOEqiswbCMZqS3MUHgWDbzLujDJKNwksV1vIJLgaCjdZjdNwP6ylbB
WVLu4DQNyMXQw4ghtCA+2mpcTnDcIVwW4PbcRd24G9XNWEdwhNGOM6+lL/mogjgXQdvlC64P0rLr
MKGbMOz1JlzCBnRjQLjuwPcIYQ6UpFs28dg0uWnByZynfleDOc9HXC9ZW4JHUrXjriQJBGFpjlUW
rHTgYB10nIU0h2kMpwdS8Amn24lGQKwdPPoKmeDgDLLXyfUagKArPaTn5Dzo2/pGzV1W1vUTArtz
mHTJvZtyQl7C0ZXm3WXXjjd2Ql9bWj+xdqlAAdUbOQ0ll9R9oUzxYKwSSCBQOElAPgNVFsfU4o6j
VWejKSvep/AUtRs2zRLcM5GHvnzyS/eJwiGGY+FTKBfHlzWAk5gWyAiBg9gMEgymsWp5V8IpJGag
nWngdCb1Vbp2JDPNcLuWo+RrIg+RJNdRDRDN1XzZIXBGx8bBjVDwfozZHZuHM+lhC0TP9rIFe3Op
Y5GFQnyG45ObVLLduI7NdRI2a65tRHcqqs+9nsditeADKj1svIXb44DdgnQGjbssj8SYezOxD9X0
EmUv7+JFprySSyZpcpyFicC+GzidyZUOUZpPXZ0PVB2UoGBvwQYTByplsOU9HObYYnTtBMTC58Do
prOet04BxRn7YSysYZskvUABu4Nj792sLoie82Gx+7YBD00GYuKEzTZn03LfBPLa9PhiCOzHKopc
JtR4EhbUNGn0xDXBN8EY9TujwQ3yzBbVi/ESC3MafVefq7A/MgKkIjXDmSZ8Dmxw1oHtLujc1Rf9
sV6gpmm6fGio6fK6bmE0ShFx5Vh0jhO7dcMgr+O9AnfkyEaxHqUYxValzXOfVtMVlPxjREIwOGLy
1MXR5X8TcSbLkfLsEr4iIhAzW6CouTyUh7Y3ih4BIQkJJAZd/Z/1Lc7ZVLQ7uu0yBe+Q+aSozKOD
2PhS+WnAT9bE2G0yUZBR55ghrKo8kcZfrfojCWt3nlIOi3K4s3E7HtOUz6fRj//A2Pmcgims4RGr
T76g5OWbLDqBYVGxKK46TAplxqh3tjZ/UwrzHBjiGTWV+dXWxBjByNSc3Iql3umgSCPs78itVL0N
ISnPfXbwXvqY+Njqox0dMXePi5fVs4qDaw4N20u6tDQZvYZdm+1gpnUVjS1GHchuLVnG62izo82g
j/M/M9HYtJsouV4ZC8RObzq68pGqaortX1wH9QQAwZRGxO4MlW0plYnjXTaopYIyAillCnlWtXQB
4bBN+THFmD9Nj9stwBzHYbyn4dhVgchJaajq9xyXrOwjezTN9DchtPZk8HMh0JONq4KBHhdOr/6/
aVMVkd5T2psYn4D50a3taaUfMcXgk607QgpsPIv8zrndjXrYiiwQTSGNPccT/Dg2kVM7hL+say1U
ra9s9UiBORj1MK2GJbgZB5E0XPxfSZ+7AmuzLMK1hRFz7bzk3RvhiI9iGwqewkvqZnrhXvMv0ePV
z+GiGY6px8LiXsKx6DqrC/jPaE/TSUy8PTck+UBxCOEzw7bK5bVzWbLfMJtXErW6aG1zSoj/Lw/f
Paf/RWvvlxkVj3d5JXh8+vgKGenT5aKOOKsipybMBHLHCMuLJH3lAx1rL/Yf+nu/86cMPWqCFhjB
IPK2XTbf7c88h1HmSIj5NFf43fNlPigY1GBfurNW7bhrsykr0jbqK714b5Ft9WFWy+voZ83JBvoH
lvL22tJsOHZEXdrFtOWCyf4I3iF48Y0+MBezb7606Az/thQCGG8jcs+sNx06b0sQYBt6LCQhK1oe
J5cpZ7zs4SrufPxhVGp+NRQuLZvW+wRx8OK86Iv4qCQMplJlsXuUEtPPZZ3FVsRY/Osw7k2ZRyGp
FhrAs9P6FibSFGSIujohw7RbYO0Vfa7cW0Cj7whgwRkIAK39x7w1THzabVDEKjX0JxF13jVaTt6M
oR7319lIF5xN2ATnlLh9Kof0QJlqXzyoJn3TqhpPG/p8TkRJfEZfo/E7z+FSmljyMp6iDxLK5cy0
GeqO5SlEIS85kQReXrgFN9oZqM18jOueTduuNQ/ZPk3a0wA9RAXLQUSt/eZ0jIosWWgRbB068yqi
Msu2tcojiWoucrvXsQRvQ1dsNvav6rzw1mxp5T+eXygqcDWw+cFQg3jKdUvq1hBVjI6mx1yHc6nI
wmoCAansOjcfVd8EFcmnch4eojbn8d4f+qsRfRlsi72xfDDPSwpreUKP3Q2E3uXMk0OarhHMIkwg
PPgR0wG7SL+WacDMJYYPZVTmXSB7fI89D6CEZmU+XcCx6Hcx/XB4UjMo1Ao+9E36/S/aQ+SNYzyi
Ij9GjI/fKqXDfsjDCdtZu7xJDvDGhjs9+u/Sj387mm3YnthHsFEJW9C6Epp8XEl/Mnu0YzyP69A/
yWZzLwYKdhE1iTpHbmtL6oK5Hlye1pmLMRPIuLmxKD9LpszBLUzvqdMdxNNgKzB2LW9Lk17aZPnj
+Y08+BauF1mj/MRi5RdwF8ddZzC+Ff0qwVpQNFeF+b7iAlqySdFNvG3I8GjCruYtLG+5lrTnzRsa
lnqZN125eW3eVlcvJv/jtZzXjWuSfZOs0dGNAUyRLZsrLSLvE/TU02RlfIg6uJ3hENSh2aY91+NW
NbA7Ifmne+DbooYarYuBbhu2Xb2VvoepmuX6LoeZYJXEou2M+O4bCU5gaupc6p3mjB5720fFpB0/
eMR/FlHeXDUd4ZerPK+GzXsKp75593LQaomNq8kO4Uvg69uG27FOYOiVgQ+Za2sHW3cWao+K4vPU
tfrEUCUL36zJMcHK22J+0/nonbOUxsfceq/DtpDLaudj5I/i2M3JBG8n6mtJIpAE/fSRriktpoUP
T7nPC5+kw8coXyAQ3/xEcdhEFzBw7mfH4Ivn1B6VCbqdjGZo2BM2ABoJDxNL98kSB30c+Aw8ZJg7
eI7rRazbK0kYZuAGMJyXBPs5bkjJYMg9hvfxrHh0GCBD5rbnR+Jha3f456poHr0mUUNy6RMRFjmW
jdek99+aOJ/3y/Cd2fiapw8rObra2ByR9tU3+JviECrOyyCHPcoftr5JgBa17Y954/RJd4/FawiK
KZ5YrdcB66IOmn2saF+aZrM7LhNcVx3U8dStpedhk+1xfQ5dOPhFShg/tinB2ich98ZRclk424Vt
r8tUQUdpBXy/tMHCm/ifq0zTC1ch7pdIRwei+DnkG79lazwWVm/9k/F0tUURO+LpCstRAIGILXAF
E2xHM/L40Jl2vk00eu9seO87dXLSjf/6R/HPtPfph8uTFZu4tG3/h6++qLSfnOGo+buhyaDIM2XP
/720rrsPETrLBEwB3RxE4w+6zM0JFk4DeZceMZw3L4Nwf8M4PfidbL9aLT5n0WUXN2yXFaLxBXz1
dzqO9IfZoP1FDTk2DtZl47qkblOgJWhiSZmadoLZm79BhFa7fHRqbx2GyHjEqt1ZNd4yLH9PHl/O
hMGdUHJ56mT2q7eJeuHJt5pNVyztisWy9YeTbSHnqCADtTDQ53nOLkmweEft6yflIPpSHyTRPLFq
zBZaBSkeDzHWfQY7OOodPTJn2ipffVZ7BndSCtAGWtzgFQ6e3E261x74+HsKqi1pNEqX9p805+9e
OLiTC6Y3nazTXpl5Aif3mcGvKvmGOyiCXHYVCnMxCMvsU6BTVaFKSpU39jloqSnTX6PW7k4345fc
2Y88QRGBgxcWmJync8aSWzwOzcHmcdX4vH+KsqR/+u9PUgb+LRAwBeL+Bht7gZU2p7vQ8BpgW1pu
JDWnrVlEhdoyFJrbZZ961lxghrmqHTNTuCVYd8GiwqplPRxJMbuX8Bwu2Y7lffv+34tMgBC0a03X
Jbxa98NTrfsCEqkPfKVtbUkWF2C+8p3N+/QlmAOy0wSWyX9fhoLZS0LbP7BrdgRUx/e8rhAIWANe
cDCyDJNelkEy3glYiJIIVGwk9tbaDfkJqqW8d61742M23FOOzY3G6xsIV7lPiJj3AC7FkzLDP0L3
Ag36MizW1dwHzMfwjodQhKeWpuLw18Fvvicx76+uC79nNix7ADrwG+KDQSm9pMHUXjuKRr+m3TOI
q6UIbVhyX8BI8uP5KdfjE83w8bVWzq/WDc/jqJMDKao89NsaPxxkkmxMlai0P8kWlEeajbQET7Rd
LPzkgkd6LLtZ6jrC41hSTuYTCFL65NmmIBvci/kepXS6tBnDHThQc5lZPxZajb+GBOL6yBNvz61Z
6zA9hSnaWe4xugsTF77KbTkqf/xFG/87Eq4tBgdfmbTjAAceGghfVM2SNAUkJ9N9azoKzrgpV2gm
aLzmswnEeBmysS06LKzQ35pa84CgTEEr0f5HKHsFRcPPjp6BEERGkJN9ExGQi2vVegRePmSAeXJJ
GRqoV62YvretgbsL9LbstYcZIJnTswAcdUx4ePQ61VWeiYHYsuiXa6fgOnl2Kz770iGmsZNKmbNd
5qLPgHK2WLWhyIfpxC568cMK/awrUg1Vd9g6dsbmf55QHi+T8XWpFKr1TEaoB/lnHhN+acKtnNxm
z+4lDUUZjOtwSzI71G6xrDY0BofIyfq8BeR3KLP1GE5oGuBMLl5inrsNrnmfwfoHlQnXCmbYLo8E
eWoByPomuQ80HWq52G2nrP/Z0GQ7pgk4wsegsvkzXiLgRtM6FyJNDKSmxeJ9M3aas1xWjRmOIUyd
moSTX8O8sAVrBSmJSpvjlHjxLqVBW42xJyuFMxIKL+KoKlYcDbRalaXDPcgacIzDcuhWLEPBEvfX
6Ctb5nEvdSP3M1bzi/m/lyb35A46RFhO0Zdc++AVSoA8oaTKQpjZ3Bp9JvAXTl0QfCp7C2MMAc04
NscF/2WK5K7faL+bp6QGIJbWg863HYSufTJv60FymVdtwuPj+LhpfErZx9isP4AcHqXtDOaXVMBf
7qDicdAcNOb1KFCZNckuKuyPs7J5MS79tJtgNJ1bHWF04Rv4DOKHtR4w0a4TyW6j3TZAT9FUYY6P
9vATw7KZRZlgp6xM4w2427qogD+Tvi7DgvHLDeiWsvsbTxR6xzafhweCMVvvsfRMEDTGubWVv1mI
wTBSTqM3ww7oAGiX2+KyMn3cS2nW8cs2EAKfxOVtnWPPxkiVjDWbt99Nu6wnpFnX04hH4/Tfl//9
KQ7WLztl2e7//2qYm79ym4BFiWQ5deH4nMxfDcCno4sWvguH8TB5M+QGt9ShG2C+0qnbJU2nAFLN
NVtI+hIPaU0nJp94azALLZG42z7Axh+DyuviPURjh/mR7BMGpYL7FwQtFGbM8V3ljB4QI4hKOiNL
MKY/Ugo/AMblRdCZneJuuQmwcoUfwFcHBgYXg3uoagxCbhv7pR7lG5dZhlo88iOzwy+gERqoMlFP
Hu5w5TNWBQtgj5F2uJMpB57kbwIDQBbs/TUGhZUH9LgGhO7k1IRVNkTDK2t79TqP+l/aNJ+MeKZO
4lVgQOzS51D9XsJHpGDC+IGageF/6kDRqo+QPAa6uOvweai1MJhiRrClXnJ1mPXOhjXBQ4LJK7jU
T9m0+M+e4P5zB0Pjsk3QkGl3HnIkMyL0phrSsCqc7X4HMSYk7cIfyMzuI9u4K7TeWvj2BIqsAZuA
76FTfczRZbDMOl2N0xDvepAeL1m3NLVPua3MY3JjQtPKH8k1Myv/tMIHgiIM0LSwhrMbloEUqLc0
iW9zjBJrlCth1O0WMMWg1dx40punjuAVjg0NGWDQgL32enrD5ZtL0J/R2Q48QwUC6du4Tz8W4otn
PjsKKjFheQolwJd3Ha/XFHt1OSnfXJyZ5YeCZTfLtCujAPaOM74P1TEIMCu1zfMMtx5VZKVnePx/
ILPEO5ODQ28ICqxtiLh50rg6EJBdNeWg6Pk9S5W3Y1l+XLOWv/A2IO8A8k5BB68tX3iKi/w16829
DY34zUQUVZhl+l0+mY+Oip9O07DEfHfektlUYx9ur9AzzK6Vf/3ZrtWc9c1hJREglM2trwRycgeB
8gLt2R7A6KPArwmaAn02a/5L90v3kuvf3Qx+xaJN1Vp7L+P23U6+AnSe6EOa38wIsjodYQDTJfPK
PMjnT0hncQULU+8YtT+3Z08DY1yAWy9wio/4FHkxxNn3msCKhfhapmnDb0ke/ABLUzJ6190y7KbQ
JiWfALNvC72omQAkwM+PfNM9jz2WEm/Ek+WBZFqFHppSJROop04Xs+duy6QcvGvvW4V+B/ZCQe/V
jfccZ5bXhCjvqgnv0Zs6U/Rgx6s4EfSFYYEoIkcwnMlurj3RqucIDIQgHkHjwierLe41ienjsK1x
i3jM9DYuLnmJoXEfoUAPQLfHpOyk/Ilt5gAJVhYRmDA/0dutgW+w+tY+gVoVteizqQq9vn1NXdfs
ELpie/gHwkbuE7I1/PcI0tzSUR8I2tLv4kyTsiX82njrCG0N7lu2gSdgystB5OZtkWd9ii0qTX6B
Cjv4MSgZO46vbZNn+zn4inqS1r7L4o8tjK4mH4DFw5l4WtCAmg0NSI+tOS4Zxt4B5Ktwi6kwxf/j
SerubRe7QxDpZT/LmR0Y6iuaIL5DMFko/F5bhhsWrK1x5hjH6a1rF3YF4txf2yxm12iQuBAaFdR6
zd/WC9JTENJ7g+2zRPEYysxDTGxtti+9Bc2rC6NuPyrczf99mW1buG8wj5UIEcB9wNUugH7OkCey
/NVm+37k0VNU+Up1yJq8jmkmzv99kUKNuqSzLdzgQ5eIY4S5tojkBdscr7wVNjXIDJD1EJijilBM
1+gV0E8FwbodtGDUwwUcYbBNZ8jSRcBsdl6Vt17nx0sbN65oxPqGpQBSFOjUfWAD2DbuiLgJeZ3i
1N65+kCH3krHlnSPJtW/ERjlx67pRImdXV0SE/1T8GruAg4vlfN98ZrsFYTq5IFbCKMFTUhofW+Z
v12TRb6yOJeXcFY/BwEKDfKVaQE/BA0M3nUttiWAnJLElzZmtMh7ALW5UL8Zs/rcsR1dQ7cLCQZk
+4CihiX/mxoG1aAZ8wocCyCY8HUjhJwtPvMdWfOzv8C8USvjFRHQv4JV3z1vxlI7dvWkkn8kG6HD
iZ9tmKXlNMq1jlJ1MEgrYjqQwRE86MBZiv0ZrP2WTJCzBXNVRMhyQg1wWINycfBaRPTW8P4oad/Q
fku9mOSSU9BKqUKiMXfbVzT8bDr8h8nrzJui7bzrsiEvQAWjrXo2fZ1bsFJj3J8zu2NuzE+hhqwX
5I2/U1rB6Is1hj1EJ3YSseZyXPym3qjNgLv1VSqVvgwtMJpwXPu9y8kAyGjip5mqVy/MzvNmkYrg
aEpShA5rVMyriHmfNMweSPAEHxkKdNH2cFOJENkPhqWv3HwUMFwsrNQDlCbwCFgofoZAiz69cJFY
X7/B0g8fvg8nMrPrPhtF9jz6eGy9CHd3tM3Re87X5zVLbOktGfSpuI2f4yiosMOL1z777ck0v2dh
I4smWdbzf18KxxF56IExJp3SVfdYBjFtqPuY1A79FXGIRoLOD9/GGQvY2MB+bJP2qrsxf+uXxJ4I
zEj05PXqOZDvrUJah4vEA4HtNVUCvwvEmCef190oR/rHzJgaNeviS+OWX9uaZiWyJCcyhOR1gUql
uHkep7x5pxNas8lKUArhae5ns7NjGlSxY9NFzza9AeWeS5AL2bOBzFiEWtWpkdM9m3H/8sZD2gJD
dQOPrm6QrIFdOZrK47CcTM/wpnikfvQBAg46n0Y0EfcLkn8DGWs72LiDbdLZI4+w0PAU78luZ9i+
e92l461DVU+jbrkrgDKFmsGP9QQhlwciCS0pBvPp9CFYwXUFISeVeuiJVi0RMilxdJmszw+LTZ8T
YSYIMJmrI5f+XifkMAKanskuVut4mxZrb2DVfoiUb/ulw0oAxSxmqcCg06ZXHpP3oYm749AAu2bQ
lEYNBzKE2mWdT166jCZFtoTsCFrRwVQDS27ACeH4kUIuG44+SYMyEMFUygyLsL8IEEFteBDc8bub
seV0qX4zcOojlI19q7FmT1EHMN+fXmNvPKFjg7QJ2d0EPhZ98KWDGfrjsOCJp2wUVTpLAEYNXLwh
C+e6txkiojqJa07pnmb2iQ+D2U9d+Npp7BiYin7F2sDsyBtZhxP/CozAFJtC1ctnDxkwdgi2/p8g
bLym8+B2RglEg2lvzrqJUD4edp1jiJI272Ej0lpS/9WPgw4AMn8HgwWGEDQusNTh4DFN3zJu99Pm
RTUV/C8OZtnAaZpDLzRsHAwqBVsfNkXfdUCC57kIJEKeEZgmWKYHauepapGpLRFptrjkwY5u3FVd
HwSX9Tsj3opS4LXFZOd5Zzz1JCOVF7jH/SLRc5E3Ca97ubyHuLBPfCPs2GbkW9HclX5i4MF1rLIN
+0FlFtc5PqaOYffAXgGDBGDxE6hOr7K9h4/cIb4UkwoBneh98kLknaf2CP/OlGCIXeXCxV4w1lfB
PA/fdMFHiiO9Lk6L5oCdokvsUMokaBCGmwqLxNd1yQ0vDNIKNRIASNepYZ9n6XQC3vETQJTAaNaN
8GmSn53w5dXMeHgxIh0wXGZlk1P2K0OhZmIjJR8jr1gBmVabDPJyQ9Lmg7cEpoIO/e+VrG+MPHzQ
CZMak6M5IPL2g9rnIbDu3W7i38A73IIQd/eAYYHQx/kzswLCPgN6l1lZ9Wmc7ZCZrf3JRw6hz168
3k+OpgNCLGG8PGeQ+Jj0soPtobLOvdhn6fqawBAqyEze0YxhVUZIms3Wx6dpvJKv0NDn1foV9v7t
EIj1giQ40ILEHZplQRKXz3D+XK4qihBxTdymCq9dDyaI+lI18Udsx4tP0IL9kb8aaFR4FOegSGY8
p77XPCdjrOsQ8RSxATIBLf61GqKrmXEUDcnycn2PIjHs+cLhhzxUXCSMTljPg0vqZQ75BjznTefF
B6poGdMOS5PQp8BT2UGaxF2Q6m3LmeIZzVNvOy+dcud1kg0ANXlxSezVUJA/eNq88mbufybzP2va
4FPGKXipPiwSsj5UBM8rprBXuzDf5hr2FH5y2t+SDvBX6ofrKQHdjjD0d8DF+BV7ESgJP2muAeDX
wpNwEyVjCG3ICOIdlrSXEFYQtuyVFXxo1aFBELyWwnbgga0qu9C4EhuwoWl/pUo8kpJvOSiRwxBi
qJA+xElpwF3FHSzFDPsUiMd9YO7jwubnvEtzKBrLcxAacuNb/8x0IDF85+INI2UtNOkOsWVpEUct
MFwxjcdIiStznfgDGeqnZOv7ohmULjkvl4gDhxdJiHaVIolmELlMkrRA75EFdG9IyhmExTjx/P2U
NXS3hdN9Uxn0gw16LWyCsmcRrSKYiIHxr5TjBNY5/GjWSFQW7ukyXfrwKSLqF+uCHFYX3CM/HSEO
IJPx1ncp9Egw4q3XD3Xe8vkWkcTekpnUsxD5Fbg0h6JM/BmqDgFXi2jU8ky52Q2zJIi0v4zLkJ4x
WESlQK8EEw0qLcjcG2vj7FUDaAyjHhx/o570Yw1EqvQL+FWK0ow5TGxgsbtFNpcoBLI1NUJVQisU
tXQa67x3RdS1n/+9r6QNm0q2PkDnZpoOCI315eqCA3DoZE87rH0yk+BoPYTUi3yJaYVTCLoyb0xz
WhqFSSde31eTX0Y/eA0MyLdeIS8yTD+SR1xdIcwPrt//ox9xWuMSVUSrNkca2bNUhOzzYCSHxUc3
m/OojiP73Kwdu/73gog6rVabTvfgPGgyolNQvrejh2dfUvMybIFXIa8jnsYOWZqFbO0xH3Fqg5uj
65ZluANI6N36TP72Z7Wd/VTcWT5zZG3EKY1wP6zQNXdzj5/SdwMY2FUWs8mCq8h5DzaruyCvQp4S
3EjXLczvPj1bJAlOAr98CmVO0CE7eeMavMyY8gKe432nGVgq4PEp0pvVyomDo+4FJQw9RFeWGQ4m
MMKSrg4uTRRPVb/IpIo3DWU/E6UlwtUkSbJq6tVeJct74iIPLiVMoRiu8RWh93pqMOlrdffWTrwO
QMTf2/wCS2/YDbnQqKnZcIW8vktZG5Q4pmBAJAGPKxKOD7+dY4mLxmqSoB9jkp11Dyg31qCYnHnH
CR0WagfW6d7k62ENZtQDcJPU3FYp7dfQD6gZsn9u122oiZdPH/iLOJI4W4PLHyOmm90KFR86tG0P
3hjBoXpYIHOP8CfhQ/QypbCRJs3Ibui2tvbaFuP9SAPYAMAedO/VAcitQ2A0BhPNdhFpt4uinB30
lj0LFq5nkSJotLLH8oDjJGoUxAvGHYIpuLWHMBr/Kj1BvHtgcO32kIWRqj7M5oBxBomRYTtkWRJc
Gv1MExXtQ0y4VYvjEQIqm/Mj4Jb4XX+e589o5eySqfyXp8fminAcUqqJh8lhe2CN/tDuoMG3EL02
MN5C7R1u4RcNrA/8S0sOUxhX4hH8/+9l26CxSbjhx8GMfg1hE/MIy/QJTK1GdM+Ge9Gbqs0kNH0Y
/2Ukn90AuFf1SAdlA87boKIRZ8bdm+drmAt0cJUKAuSSRP6SbySEjwQybdNpekfa7vcC+bNYvHV6
YavAC06cQBJyefPT3y4U68s6RGUf8+ikFIabNOEIK6opqnMzZntiaLNHUGefd4J9DKH3RzZw1Pw+
bgoP8dWe2r7qB9dedCKD3czN2zZ45JwrULk9pe4rnHFWQdxr9JpxeY0CPMWgX8H/7eK8a/4EyYRN
02cEhZTh+62AvAG7J7cBHbTAETY/KXP0zikAc2b2cEWjI5yzLzviFh+6PPqg/RjvZswVK9oUoqKt
unconkKSm5s8dw6Rpc/XPi6RJwxvfvQ3j2J1b3P2iSOx8A1noD84YCHkN9KqXwKndrDmc8T5CY9D
Y5LCdT2rcFqBfEPCLcG9qHe5yNSLp9Vli6g546iGMkwdmlEu5nJjpodRwfzCSahVKLxz5QuWHlwv
z8ivRLvYeXM9OZLuKBPp3shHqQUlhDQZRk1qrLo3QUka8ysPTYwqQhD4C1mF4J/6E1j5I0s+JtCs
tTeoX1ourpJRgpaKPraMTcGImk4NnsCDoOfYtvnfSabvcBqGPRCQDvhH7p87Fz032uIICp4/STYg
0ecnX2bz5SHt0xb5C28uvHlJzjYBwMX0UxJUoslDqJap2cXI1tfdGLalH4MehxvGjqnbkBLMCOwa
YXHYTQNSY1x+6sQiWcA9ZJ3ET+YCc4EueYszOlwkQnATcsbVtuR35vUVUknQYefuJaTrDsg8PTQB
rjjccTyPLa7A1uyRf0wwuCt1gV+YgUPhYP/pBvYmgtExGZyzIocQQYe5jY8IZNz7CGdZICUhaAQh
XDRP/aoRvx47WwV9NNd+o18i5Qc7hvkKv27/5XMPDjEd3lpowcd1mrHSNnoHPHC74tyXR2oF1F7U
DdkhANi4Ja7shJ7+x9x5bMmNY1v7Ve4LsBdI0ICTOwjHSG9kUtKES1KlaEAH0IJP/2+qqroi0Yng
3zG6a/WgK6ubCJhzCAL7fPueBZBBY+/aHVGBexznz419bJYdfsfSh9jCVaOj3DyigoXbZvBu0jye
sU1JUONtoVoA95TdRqTeS5tZP2N8ft90wR5Y0OuhIzhmaAac/PU9EBe4vSmSOL1O2gDKnQqC1iR3
6isFpsUYYEPstoghRqwxCj1V4L1TUKTxHgAMOT3XuY9TdFfeo6C3usUPuoohshljG9AUXIsOOCff
qHqsPyd5uFPSeaxGXKXMY7CpS1y+AcVA6WZWJepP8Z3b+M03Jq0MCvY0i7Kpug4TitIK0UPbgioK
HPh/+o3Z+osB9gZl9bNulMyS9C84/r//8X+j13qBnLa/8e3//PntP/5Dd1/gXf9GvS//8B8kMQMr
7E80v+Ff/v+BxIBtc5xgIYT/m72//II3LLHdd2xL/+d79cf/7LL+b6jfAun65//8F1LM+VcIbBfE
Qy6YcBDGANP3J1MsIP9iAXC9BMIB7FhICBjcX0wxh/wL/yZwGHYLDqjkIX7L30wxAoQcpWCKAWP+
m+z33zDFQgDS3hDFPPDQXce38R8XogaChk6JYo20UJwLQdTezrNffeDfB9LD3iX8mCN0Nkjx+0IF
OKmy4o9Z4jw1s/81kEnUh9/SscdezkpQRDx/hoIlajIPuwrckdzOC/Vl9LZTAN5RjOLmkXwWKCDl
XXJoZi/C4d9R4uuLW3u3aG5w5+L37OCPqEoukl04o9Arl0dXFFeASjzhk+3eQ6nhKNwnN7YhEN84
fvJjSlDn06DwqRAfmNV8mKcY7AC6ddN6y0sC0fYPHKgoJIG8nCNv8g+BO94FDYTKSQmIjntfuROu
iVzoj6tH38MhpFIRjtBQg9EBUxV/nBUONljsfmz95IgvnQekowrq1hCnIzjAnyEj2uRJ8dQlAbRX
bQ5x/PCtw/kcYRJlphi2hGCPEvtXwuJ7VnY/rY7uRFPeQo+4P1l978Dh7GWikE7BkPsTDfd7IgNA
BykWFFYOFtPpRKpSQu1BLJSwCrFLKpRRBeVtMooH6PkfAmnhYjflWz4HuHoBVgOzc/4HuIH+A0IU
pAUo6INo1iUAIL79AZkIcdrrZKiGqja4vMywq5WHiRQQminou3nqPLgxh4I3nvF9OH8eqozeerZn
XWGLjq/azauincSOEHc0A3AuB6ikS1TGzLdTIY+AlvCtzxLrinQcaKQWx2peUe4iHKmFOFnCxTXD
9fKI7+UNCiI3dR3jEz2kNwJqX1DgYrLvW+cnrqsUqvTmp55k0dxm9hbx94Jz6Js4mO5Yji8bFORd
16JJbv77HPixLvGftynvd6b6Jx/e/W1McvZ/9X8vmf48Nfl4kw/ts0zGN8TL3/lz+d//mTrDALh5
XGZ4LpInIyep0wenkVA3ZGCdU4r/imj4G8cY/IvA+ASmAYzZjHpLVv0rdfr/wvJ0KU7Mluzuh6Hz
36ROsCBPAs5ylqQNfRxZMuoJg3FoMlwSAyZ0RLhVkZOmzQ0p2mAbetwFWPjfr5R3gnqJ2X9i+p8m
QBE/bQKfiFleI38cneUwEsI2DllJUu7OP93UAS3l90ylWW/zEYdmVfdE+9L7mrsFdLN9PIFXfa4D
piY0TqVlF1me+Pl4FK6t7vmMu+NIcR+nWG4+D1/ON/L+KIHA+XaUVAs+iOoKNJLWkAe6GeRxWwAl
m7VemBpYaJwnM91IsCGJT9Vx7CrUguF4J/uYpT5PQMA9N0qm5y8Z9eT5SJaQJBdTsO+8FKXM86zU
S4pC7j+dcv40ynlnFb1NzH+vIhg6vH18Hli4nYcUdy/bqkiu2yL3sIsksv02yHkKN5U9xnLb2V2Q
rrwL3p92ILvfthii1JzhrNffl3Kw8wcHokUFDMvSLi28QF5dNm7LeJ6MW4t3UD7iFYcDv2bZ56MS
psehsFN/O/9808BpER6EgjR5qPx9j13CnR9aAXvucKgKOTh4AVNkBXhJbUolmufzDZoWghbvDSM4
/lsaHAoou6/rtI/xrdL2kJeeb2CZ8v9MKM6ynTwdMZbNI0GtA6qsoODNAQNLAY/akJDH3g7QO5Cx
8AHiFdOH883ZS5y/154W/01Qttxrlbfvk2QQeMeyCKcWuIhWYWF97Xt/yiGhQOn5plcB0BGcsKXk
M2FOCSejc7Fl6DHTkkOR4JS98EZvPzLH21JZ/0oHBek0gJCAf9ydb8Qwb0xLEDWCdYTOw9sr1QZf
ICYMcBiNS8bzTzd1QUsPBcszv6U4J8FmKHslsDO7hU4RInnsvVDK36Gi9nxDhvXOlh9wEk+un+Oo
IsUebWR5uqGKQCHWBdvED8vtHEI0RoPGX0lKpiHTUoQsxrxpHAG9FXBM817aMk8gAA1xkn2+M6YG
lr+fdMaZEug5itzf+yTBFTvnvIQkGDi5+MIGtOwA6KhV1W1jRVWtAv8RwI3Z+oDqYGDGzvfANB1a
NgB5oSfj5CFkgtjFBTTOAnCsk3K1KXMB/e84pUdwQOhKc6YB03IDkABu0aPmKapxv1UeRolTiz1O
p+shOt8fw1uBacmAunXMxsbCqVnXO90RVSgV2YNwBB5Sk3Xj2tva0EygRbyoByjsppJFYJbMH7lU
6YNoOvnY5nX6cFFPAi3eRz4xKPq9MHJwfI/TbZHyG3D18HrgkFROl01IoMV9ypKGQ2zIIgin1JVV
zuQBAEVZXLbrCLRor+NMEYwQPsQCgRMskk/uV38GZ/KyMdICvB+COmDE96MB13gfJ44qXrxLKyiO
bVw0nm/DsGQDLcb7jFaqUDnUN+3AM5xQoMgVdESVzStjZFpL9G0S4dCLiHBapkBIGh5ECg0T1ExN
311zq0Bl2/l+mJrRIh0CONpCr4DLOpzN3TnhLO5bIF8BDfOKlXxrSCaBFt1AgIxe3icIPtfGEa8H
BVLzJFtp8RsqZqADOysNgyecM4D/c75XptnR4j1QGDJCvCAaJKYpSj0FIgl4eBZdeTEa+rScqJ2m
eJXkCSlHTL9XDg1kk31vjSDHQmWxq5Mgs++5NwSgW9udPX0936fl0e9saHwt8ospQTXEPMYRPipT
sGQTaDx/ts4MRZs1y9p/4rlTJEg9UKzfomy2cb4oFy4RT+ebNwypr6UEFfvYg3ILBUGoddqluNre
jn7Q7M4/3bRd87WU4A3dBKCSCCNK0BlUeMeQfbEEktsoaVWfvDQQGJRHd2aVdz/hg7y6c/D9nX9h
3PG8lZhbGntviLXEUUjq22rKg8il2QjR65jvARKrni3cn0VTGfcru3vTWC5/P9kgCOjwAAAOwsgr
RgLJOejBoM9mEheX54fTtDy15NFmQqEuAvdwHU6bUNoedI7zWeCgUR3BEm9KwEP8JvnZ4BDLWUmI
hkTia4kEQkUwKBzpRz5K/iGoDULUZ888Ea+46RiblRkytaLlkhl0WtH72OSmScH3flemuJgi0y73
BFvpiGlytNzhxyGpcjHNUdsnXeRk4DkVIHIfzs+M4emLY87p1Ps2Sa0JaS9CQT/09J2d72JUNO4v
e7qWI/A1UIODgMXqgLIPcpT9UuGy/rKB8bQMYPsNTqsB7oyywJqfxqFy6G6AKHRt02kaGi0FgK/d
NVSqObJi1MtbhIoDdrnuhUOzrKiTmKO4OWs6jqd3seNu3RLlsGAExSvr0pS/PC2kWeXMKKzFvALX
t4Po7kih/y7L5Isb8g/A0kYWx+k/WElOGVydn2xDkHtakOfEklAOt5jsJv9KLECoQYtWEEI0AmBS
6BWh5FtpyhB2nhbcFQQJ82zjZhCoqFfcNfLh4HYcurxuDPyVITRNvxbadIBmNOfxGKGwQz6HXZ3v
USTPV/bNSwS8k9o9Laq7CskPlRhjZLu4iUcAfrM4vx0bN4cUKv7S1hByQry4stgMU+NqUW53ZRGz
GWxyeKNY0KdAypFAFQWtfbmLawmk61SsdMwwbK4W8nhpxpzbFC4EdY7bWOlBLhqkEyBr51eZ6fla
1JcedGkW1Cf70M/FDelt54awIYzOP93wxnW1mK+tJHShVJz3vQifmkS+VGO3FB3dKm5flrYWA+zT
wMfxJoBMYNweZJ+M7YfYTnhy24CF+3q+C8ucvrOy3GXgThILt7NBJMD27RO/2gWk7raLhkyFYltP
9W4g4M3DWWFTxKj5Pd+iaUq0wPegeXAZiwfALVIca7Y9qj3BLFl5umlKtFinwDk5cQ7wZ1NZX1ES
jsv9NgR9NL/uGsA5L+uCFuwcNb+W1fp/dcF1QITyBn+tC6YB0oKdQibSs9Qe9uEYkgUTBubExQNE
teDmEAMC+4+nixnQI69RjwnOpnrG+43vA6J30Qj99uE6WVap6zFwzQjOQVzntaYVA+sDgP/LHq4F
NZ/KAiUNeDhYScBnuymIKiOYPeefbsh+VAvqqcOpESS4+OkOrtBD+WFaEE6tO4Pm5b604MCtjJGp
IS20UX/nQLRD+j3O96OxJfcglD56U/4jpfToZ+XKGavp5U61EG9n2TU1xAZ7FBcdIDK6ZTw8WoXY
+tw6QjO1Twf3qURRo4jdC7umxTiJPUlVanWQQyrsVoBzhaB4007Zd9TpfQjC6XB+rgyhsrgFn2Yv
0YZTjk8CVEP5KBH08wxGD9IJVnpheroW5ji0iIWVwemiBEpzX2RgK4A9Hqy8PExP18Ic7kegzQZA
R824DW031lzyYjtPKXAM5wfHsL4cLdIdAbkcSLFD5HHVPIcw9Dg0JcM0oAh0Q8AOvoNUurysN472
Irez2JH1VPYRfMCK6xCoN4h4UVx+vitLSLzzlnKWLp6kkx7wO5QceH2EIuNvLQpUphblhBWzVobK
9Hw95luFkg9ldVGWWvdIuF9pnDzxpnw6//MNLyVHi/Qwy8rArgIIObG32qQjXqhDnT4PYLqFHFiP
862YOrEstJNBqnhryZD1fYQC5TshUURSOsMD6pteLnu+FtQQEYxNi4+BvSMBcWrjD5myXxyv/FPn
YbxtNeUpRwvmpTAe/GwLmLR4JhGdcLeKukXgaGzYqiV1nkVBLCFPkl19N2VzsnMhh10ZO9MMaaE+
JNCMcjw5KrAPvVcKRoTlCI8SS7HgAIuZ/ur8GJra0YK+Bz6FFDEqaXHZ/sBLDhSSg742DsomRfjr
okZsLfBjlolgyGQfjUPTgMoyP5QlOJ4AR8LJKrvsJWxrAR9WcHdqrBJuknb+ijrB7BoJJ3g83wPD
Ura1eHc6p5MdxKpRMoz3IG8+QFB80/TT82WPX2bnJFJQMoVqtJT3EeDy0MLV9T4GF6wQ7MKfr8W7
O7rTmFE8n1njI68AMwOO2XbclR2KYRHZWqDXYxwnICJ2eOtZTwPk8JueoSoZxHuc4YOte36QlrF+
J+cuqqLTQQJHoAmABLawUYQhTQnM0lB/igNInQF4RCHwyvbENNVa1Fsw/sKbA2PFe+zl4nnv0BZl
jen+fC+WMXmvF1pgu82owHq3rT3QR5AgOjeutzILph+uhXKjvM6vG3wlU5heNm19LMPFF6JfSYeG
H060IM6Kbkr7Hj/cqT+QBjew4etFI0K0wIXvkWxmjnm1a/bdiWHVEgbHyx6thW0vBj6p0e8iBWwO
1J+dE+U9bXfnn25YkESLWgaNW06KsIvs+IGnbgTN0g2D9UdACHxMnMuWPVmm+yQ3JA4YQY1LrD3y
8dNsw0GF+N9FO6P2nIhNY63pTk3zu/z9tJ3BEQDiY0/gzbAFwmUZKmKGYFzJzobFSbSoShPwkUSq
OlQ/J3cdyb55CYySaiv+cX4uTM/XwmrEjZhSVdwCJtaAOED9XWzlz4BIqJVpMDWgRZfsAaq0CjTA
Cu+RNdUPCBDumB9elKHhN/529FEMowgqEtq9LOnj5PAfKGC7awNv5fHvT64dajFmj4Dp08nuwLWh
7r1fey2EfJO/Egjv539UA7398SgGGgC+6q09nVFmUvb9D3g0b8PK+mRntL1oAmxd/DaFvTuC9NBF
gUPGbEuAOOt2HpMgizSibtc2Xu/Ps60r3pqxdGPcWQFO5DbfrXF4Gb36C/ANKztv0+O1KBtgKy59
iqGq3Aw3Icvb0SqwMwactluZDVMT2ntSpkOAE/8Jm3tYUss5+JZn4x1q3z+djzTTUtIiGcVSBPYZ
YO4qQe9kjqqTzGVZdP7hpt+uhTG8z6Dy7Qd89wC/7BJ5xXy2L8Z5RUNm+u16EINNpxJatpHjwFLP
kfQbyMzisgWqC9RUauc4/unahSBykxb0GvU7D2IoV0LYEGS6NM3B1SZ005aM+BjDici/LnLyscbP
34rlxPf8+Jsa0SK59sYKfuloRIQZ3YIJjurM5Ktfl39YFT+cb+P3hu0/t0C2rk7r4SbMF8Y8iGx1
VLYQrnoLR9ktvT8o+L5iiFGbmaRATi2uE5Bj7zLSfHCtTkQwllj7XjAsNbb8/eR9N1qQxYHZh+lC
HUPbec+WG3xsQ/r5fC9Nj9cCvRtpmzZ+3UaxBZqS491NTXNFYBJ3/vHv7z0gi3/764eYcT8vXBmN
Hej5zgQSWdw+JVT2G4dld6hmWckmhpBhWrijRDFGcSBvozBtgORX9/AouGjDajMt2OES6BSQe8gI
TiFeD+MjP78TgIcB7eHgmO78QJnmQQt5mMRNFa89DJTqHi0kWeDnX6yGfzz/eMPw6Bq1CSJOELti
iYwC27VSkW4LkSVdGXzDj9flaYmTgg5CHRkVrv0y5vkzahj2sGtbWaOmH69FezqJhksACiOQXVwA
uHgdwoED18Z85fcb0omuTHPTJGE9gwnPPFlPWel8LETzCANm1MD2+/MTYBqi5e8nYVxkAN04HZpo
UZYmWHJX94CHZNXKF4Tp8cvQnT6eqbgUg5KRpAG4BQzbb+Z0T3YyZivvJFMLWiQ7wQBwb4YF2oPH
DPyxfZMIWANDr35hF7QILqfY6qY2RRfcRKK+1XmIU/KQyvCPy2ZAC+NOunB6DjEDSKgA9Tg3PAVt
P3YuXENaAIfw5YThdgJGLM8+Qyn9LGTzAfSXhwYeOed7YFimuvwMF/sQvThcRgQ3ch4v8AUtbidW
3o6S7c83YZhlXW6GE9AuRjmkiGAU+eIn/q3CdX/BxZfLHq9FcgwSCk+aHK9UjNUmFPDYSTyQk3u3
vSyP6ooyWIAJCxXqIuIhECOot5MOf+qt8NP5Dizx9M6ewF/G7STOCMHHIYz3RMRY4WebNAd+0Zrq
8sP5x9vLYn/v+Vocw/4WZUq5ws8Xzac5KB8lEzBxaX9QYY17UvufssCByZSAxXO+WGvi8AQ2QSK/
sH9alA+558clowKYO/D57Na9H0bQDM/3zjR4WoT3ABfW3lSLKPHmFFZSARV188rCga+8qU0NaCHu
qpqEuLsWkWrAwY9sW4gWrF1XrN2nmBrQglzxvgeGL24iz0tgO8inABzFPgxGuTJEpgWgK8Xs0iHu
CLxsBMTycab9ESeJt7Oaj6q0bojkx0AAVZOXOx7iG7bOyFcBYNH5+TFs1jzt6xsuKBMDdqeJKJef
8n7Yxl0A5LQPWt7E1UsBAPn5hgxZRteUwXDIVjAzwxHUPFevwzypa3t2+HeYfFZrcglTG0sSPYnU
CcRVOU7LQKbAe3Y+/OCA5gZb5yIFju1pmaBw6hH8pL6JUKzXHFVL2gP8PNKVl6FhoenCsoEOVDXA
zEd57IE+XMfJEYWnKIw/PwGmx2thTpGEPUdhpsMqFu0h6FGrD8Zp7a99ZBpeVbp0DPeYvK6aoQF4
DQTbFoePUrJP4L1+hxHKhdtOTwv3gJeAC3YSy8jtPmRJ+wR79peQtdFlg6QFOxiSIy2KRERBFX6r
6tHepK67FmuGGdC1YqJUAbMW/k+Hz9hvFjgJVz2HE+FFP12Xh8GDIM0D6tUR/MO3OHsFkLyAOe1l
D9de4lKBsdwUeDiru26TVN4Vr1Z1bctB4jsvQF0aJrIJik0GK8k8V5n1KQlmW5SbHLAn+uyTnsob
K419su3jgKnHNoiD5kqEjt9sbbf3gFgQDrf51g3jUUUoaKHjbhxVLr9PzAd8q8LJNN6jvKtA8h7j
RF4nEyrBYOCJOrRH2nLckYbU8YdvqPbn2Ycwrr3u6HuAp+zArCTqME4hfId9j7Yg+AWuCyy261v5
D5L4vP+jqIIUB328E+W9jxMEQPCzPFAw4uqqcT82coJdl8Rx3nMI4zEFFXAs5MGuqOqPOKWdk+MY
DmUFuX3jk6uxivPwqg5oGD/305TaN0Qs3isbt6esunA6tURWTi4wNj2tIwu31JvFOMtjYC+fXyvL
Q96bzmX5n2RhiCwVdo9FExV+DrOS6iG0k+s4yC7bT7paHgNAapoKB7/dA666DYvroA6jmYW7y369
tmHxBqhx7DJvItSAT5vYCkEQm/I/UOa/8hIxDY+WwSRJ4NiCG0OcvOQ5DJta4BKtbyiL/HhZB7QU
lqO4Fyh6gmgiJIQYGagi1L1lgCt25WWpRtfFpX5G+gpcrijAhQwcdZmNj0PpPp/vgGFLouvhZJkM
w9AMyDWgacAjcc5vsCOe94BrOFeKZuK2t8nKWZVhMqiW10SVdSi1CTFYKEjeAEIGTy4A4gCCXumM
qQFtS0JgBuO5DGgt2QkPuBnl1VcO9MJfcXyyWttvamT5+0nE2RVI2BbFmvWT0pv2KaxhXps+nf4I
LHRpJTCW8H0nrHVpXFeKMbbSDtPiFr8gp772rFaspAzD1oFqMd30oxyECmp8SNf+x6op+y98tuo/
SleN8KCm9a/LlpYW3IMHI4qhxz1oIcKZASGcBekmAXv9VvCZwjEArFUgXRAv3883aBo0LdjHpips
AveTCKjFb33djxFsdy5841Mt0ptgBPkOXgI43ejkFlaGsMWyRnLZVkiXxI0EdeZehgOxCszla+AG
+U3HW/L5ooHRNXDwW0l4XNfI4oDuXacVMMH4BlYrYW0Ydl0DF4CSO5cttqI8LoqrvmI5br67NbGg
YbU6y99Pwg247z7MlhccK9k1mFL32MR9A0Twc9/BEOuy8dFDWtpTP+HbObJURV9hYjq/zjAs6lYC
zjRAy99PuuA5tMphWIaPWj8YrCseVvaWxOPorSgyNFLU3zwQ29EiGlW/cewXrIqgrer4Y1YpxbZx
UDnNbmxr62PSwvaEBYNzAPFc2QcrhL9YZAPfDV9Xy/PqC1eCFvES5DM4CGNvOSqRsq1Vwt1gA/p1
Uxwumygtwn1CZ3ySIHXFFLTYW+ApGU5SgK5duzM1TZUW5TPpJSqPnSqi1M6wGRnz0cU5kDuEK0vN
8PbQJXB+O5eyctBAm2Rf4GN7TOf+BbUUPy8aIF38VnSl6sJ+riIgbmDGntBfc+et/XbD4Ojit0TM
dttyuGENxD0UDr92nHZln2aIcluL8tKCX+oIBEsE+5MS7sUjKKfOk58md1bifLpsbLQo79JCJjbq
68BhZBQ1/sO4wT1ztRLkponVgnwMMnx8Y26jTAFslhB72s1dmH8EU9tZWf2mJrQwb3O3qkH0KyPs
2u6DYb6J4T2a9msXEKbp1aI3mXAN6ssa45Nb7pHGaXYsGngtnh9904/XQnfkfsYAfysjt26zSLmz
/Fjn7nBMg766jFJk/xbwniRauMmj1r0iJbbKMMkAtu4Y284HODd9Ot8Hwwjp0jcYoyVJHGYYITcd
b1kXkh3eRs7j+acbRkjXv4UjV8NoYw+Q0xTVxaHnevMVbNJctRsLqw5+XdaMtgsvrawVA/jBkVP0
z0Vt7/qOPANDvT//eNMYaZFME7/nCYxXo4wSr90okMhwnC5nL14JNNPbThfCgQbSMSIT7GbglceA
srWr4VG48LMGH1LUMNKEf66i8S9Sw1wwWzuVMU3P0uGTxVXljFkc2sd9O1P7SBfiJdwomg9V6lWX
BbgOoIMtg90Tpy0iuBM2B7vNClhAUy/qMo9dFoa6/q6ZrZLEZVVEw1z8rEVx41hQ56p4XrkhMI2S
Fua9AryoV/jh2PqzdIsS9eZbFnjyYS7CerjsJUq0tzRIQHEMAEwRzTL4AZfUqzpNPzS5WtlPvb+E
ia7BcweC+3bUmqJiuo5zmMDQ9GPQd2tyh/c/ueEn9HYhZU5bVWm8TAHNYWbQN+Japd2XfKRAwnPL
38RV6a6sqCXq/vM7Erb1b9uq4Zw1zRJdseHkl2ckgxuJRHWdDfYTuDZrn5SmEdOCfnEBVl6Ljb89
drYCVxdaVfjSO6K9Op9V3l9WRFfjMSCRG2yi0Y/UVzubU/ehbRy5nVO7uXDWtfhWfob7Bnjd7RI7
merrnNiwK3Yab63CYiFYvjsX2uvbdyl8/vweywpVCTACbgXxQPwAJhOFJbYHF9qpqdsdLukJj3IZ
M9RB5bBJfbE9FKo1BWw9y8C1noNkYrgPU5APLoYGoVV8aWrHHg9jM6YCvjX59JPCpfBmaHI4Kmfp
gOK6foQ/fQhn5A0pM3f+mNooLXqSIPyqh5RANXufNyks82hppe0drakMt9SJ6+HnZROobS682Ydx
COrdQQ228/sh5OHtCPuS4+iS/OWyJrTUk1o5HeZh4BEcpj+3Mdlh/T1xS124BLWkg09a3BD6I4/o
3MKEyXGvxNx9CcXax5MhLeiyQaBuymRuYYCWZVXhoN5HyW4fKgg2djBasma4L/c5u2rhonyZpILo
UkJbhJ7vwpcKJ9OWv3c5bHgSUR58HzfvHUqaVt4JhiTEtCSU4oDPppLyCOzdDDBMCwnIUddNVYEM
3a7d7BpShK4mtEmS9Vz2PPKLPvvQuZ77AEPQ6fsEU9aVo1hTE8vfT7YAJA6DxGkE37cT5f5OFVPH
frUurGuOGSwjnZVMZBovLRNBUJH0g18kqIvFHcmh9yYbUjgI/LNyZs6WDavXWIbSNrAY3/YoSXF6
E8uCR6T8FbMv0FLvu5n+anIYXUvYt9oMht0O7EbXjtHev34iuozQmhobBxMVbP4q65ja6Q6Qng2B
9c8Mc+wJHoBOIQ4T7NMuygm6tDCgMWdzEYQ7EHOC7iosWhgNsxB6BT8ZCrKywE3rQksNHp7tZ8C3
7Ka6b26nOnO3oq+rRzigrxWCGt6wur4Q8DCRZQoXaUEAS1g/s5NtZpG1DyfT07UtyZDh2JT2dhr5
irKDzFS2zYvk1/k5MD1cD/9KWKQoyxjGPMVV6LZ75XQrA7/8vne2N7quELmRtGVXxLtESpgyYtG2
MBfO2o0N2yk7vW3WQtLUBy3yZ2CPAbjAdo3NSX+dhSjDKQL4q50fIcP60al3sRcAYUqtELZKYN+y
qmk31CLeHgavr+dbMAV6oAU6gLAy9kCziapKvjqZ+ILqv3uwCp7kRA+x5T9MQzpsUJjzWsI783yj
hjwWaO/8xA8SawDoOiqUUxyGOp6ubYFc1tLE3uLyhK2kZUNO0Ul4lppw7VPKDBhKeiPhshsP8e1I
x70HcwyIR25B8Z43VT+t9Mu0GLRwn3Ii+pbWIVZdZY2HailGAQiRzbvz42Z4vi5DhDNTJwoXtvSx
8m+TwTsoT3y97NFaoKt0mpIywTYM5muoU+8rJN7Cez7/cMM86Cy7AUUPc53UCPQm+ByPwdYavrD2
WxnWO1o5z7BxXZxZVmLGNEjLojt5F8+ATrVD12Q4a07IrktV/yuWVbgmpTOEpK5DDKHgdgMOcyjm
1rOz6exUwOHH/tUP8WytdMGgRSP+0reTPrj+bIOKlqQRPMHpcFPyvKTfA3+C/ALKBHmdwnNZQjrh
1KDFzhMJn8ZO1mIfoDi1+57OcE+OOmx65UXn9wCgv/09kyVswFG65RNIdskVH6oyO+RB0ViXRY5O
s6uyrPMZjF13fThb3jXjlZoOQG+jUvv8EjRson3tG0B2vJ9hG9zve3gh7nk8PMKh/Z7H8tUj46EX
a2WMhtTmaykA2zCPNrREOw3AyhOuyGFTVcGZ1IKLYrCiCDc0oksVm2Bw2xj2TfuhH/nGKu17Z85g
LGS/hHb78/yAmdrQEoKb9oCT9FDh5858qKr5sU2GL4HvveKA4sf5JgyRqosRa84YIRS0ksFJyw2z
LABdJpccLnv60rGTGEqY4sS16OLRGIybmsvkvgho9/n80w1pQBchuji+orYvun1H2mqT+THUXl0I
R3jmrtUfmYZHSwKZHO0at77dPkbl/6cmkwBa+WReo7kYtkg6zm720lF0cNbd5xILtG+BNCfenZPB
1LRxj7C7ekmDtao9U1ect3OBEmg6U+a1+yy0y4NHqgoO86swQENs62pEOjp0LnjX7kWd7GEvc+9S
aJzDVvzqbRSK5eqP83NuakeL7X4UXpwEqt3HdvGc+cljGaQ3RSMe3FZ9WCpxVtK/oR1doejBWcmi
AjMz2vaDxOUsrnaei9Him6CKdypbk90YZkXXKlqwWRNxQYFZQhHRLkQh3RZJfg05ZoiQ3+ZBJ/E3
o+YjzgbZwi3e+ZEVMHLq6l91k6zs7Uw/XgvvtEzLum7cfu+F8AO3HBei+Tmu9+enennKO98POsSu
sDnUjDU+eeq479O9kr2CuXtfZuVB+U4hD65snDVaumF7pBPt4oHGrp2jK8Uo91nt3QACf4dzuC94
6x9YHf9iA7tqprVKA1Nz2su8SeOg63w012XyWonuNqTkplKvnveNQQC35Sk7MojWLhtJLfR5jkTD
4AazZ3Ba33T5gBeWhCk365zHtoxXrolNi017vYfgH3Sl50k4l/bDoUyZs8msoLhNlD1eGJVa9KuS
+v4sMUM2vrc3KBT4Obv5bZmkD6M//IDZ+RoszhD+uq5vTkt3rnGaBB/qQmy41VyXnOQo10kegq74
VYlh5SPZsMh1iV8VqKALWNzsMw7TwsaFV2g+N9VG+oPcyImsxJIhUnV1X+y6hbRzH810It0WCbdx
15D3KzvH3wyZd0JVp9/1tprjXiY4nYB6N+C4slT0wJN63ILOezuOKN/m1vTiudMV6orvw8wVB9BH
5cYW3qHzJnLZ+qDL0jzJdzFFUz302ftUdL98yjLQ3WARKuy7BsQ8X1xWXk90BSCuBXD4rsLw4Fre
Jhysn3VRfTwfq4YtgS4A5DA1jDkVwQFuoOXWFWP120P6GLdlfzPggOMztNlOxMs4PZxv0bQ2tOwA
i2FazyC7HeZ4Krxta9tdfePbRcVWEoOpAS0xNC3r8e3ShAeWsn3dik1BLtxg6sI/4N1Epxw8enCc
aM46uL+3u4uGRVf9wW8ki9NAYFgWDBZLUAdUin6NEmhIlrrqD0galGuo2t1N0OV7Fb+tZPNI/GAt
Ig3LSNf9ecA9pZJW7q5q2KtTjN4f0mf9dR/H4XPdDl/omH/tG3nvy1lFUzr0R1F1/JmD8rPvy5TA
57uuN3aBOqiCuk809J1NHvI18J8h7enCQfiYi7zo6wB3DFX+pRD/j7BrW45T17ZfRBUgAdIr0O3u
trttx7ckL1SciwRIQlyEBF9/hl93nX3O41qVpO1GTM055rgoLMj2r+DvKBkvFPYbL//3Q/xvn/Mf
BaFFtDplvsmP2kbzCSLYzfxNHYQsJ6F3L68L2pX/T3P1X475fxL9MkXWgHA0dejpa8j3El7R/8/T
RJj417vyv1TY/7S5gwBSbh7f02EKueVblcsIHUndzy7LEa24UIpDKkco6Co5pbyg5eiQzIEKa3iQ
cTXtIx7qoGwu9dEmouvhTjo2MzK3VZuPPwnx4EBi5kcmc7lNwk8e4o2WJPdIrnLNVbNuiopzgP/C
COpd5q16o1DxDK9DYiYklabI44FvUAyXTtLpeLQVAnvidjwmKt8aUW/j6hF7RvmAuaNph6hE7nt3
IT1ZKqzc7VuG3L9SqX36MQ07/YeoACiti32Minu4Y+um7DD57iU3IRkucOiSF+vz+LoZ/sVh2dqA
GVBzHc13Jmto+9OzxEYXYzoqXFkMU3sByym/84aqOxfL6TGdNyzs+hYk953JHpkLmsC/dSg2fQQk
60TVBS+OWbTTsqXtWUm+fzerEQ1+/5STSrU+hLppiK7yLmYlc3GlcnogKW/P8H5a75iZ0yP4nnVv
sz922h4kpDdVgsxL4sdjNoDL36z+TgPu7e1yXCcuq6U4D4Kj4FxBnXyErewfJ2yZjrQtkWbwSaJP
CJyuLArJMVtcf//F3K4WsAU6tsRIF4NdmS6bfDgFDq1siNb5liwLrRhphptMRXMHEjBRwBc5bOww
9u8xDk4Mna3o0LABVZuWjeOHnG2NdGJ+WzYVlx4XQungXY2IT/qbbOl5NuGl61xeTj676Ek9NBut
io7cVqmO8cauabP+mFbx1sn1L8kzBXNlW0O21kMz6iEcjeRHuolXt8xP2Y7HMY4Eoe3OHoySn8Oe
/UpM9EE5/Zx3flVFWw2bv3cIPpBR+uZJDpdgvVVxLONDMcrvDKYukO3WfbrcVNsX1azX35Hv5hI5
VwfajnXjXjQTaK2OwsKbaM2gv97IKW7n954nL6QlNbVTgUxn+43s8D3l4ZqlH0leHJExcAhd9mDS
Aswiyt9Wr648Vt/E3v3cuvCgCnbI7Ir0h7GOdA8E/UxyfoyS5KaktvBinm8zLHLkPNVCxuch7k4w
XTi0jp18Eu7gqHEvpCnHLrkfxfIItYpAZvtwcFKcEVRXtX37A0ex3FXzKMT20cRzjZyyak9+IF32
qYA4qw22aoStB9rWEnQrs8FJjfNbCxsy+JejFDzSYUBIOE5Jbw/gED65OTq63N7E1patNQeEuRw8
0hOSmXf15NSjaBECq/4W+e+U9O8Q6tyZlkEegm6qzy5pM1f5RD/SVmLyQ4iZPlvevqQsPccWKSYC
4wac+u9SOnVIx80eUhIfe+TElGOLB8omrx5mn8nSpexzS7ojW4enlMWqBNvxFxyVa5KLX2HdbvtX
wENYLyPOAMIsjxNc80sdG//1ar0i8+ip6NKnphk/Q2yT0jS9L6GORJubcnGgsyUQ5ix/Mjb+QVjE
o0SqzHGEhbXpvlSIffQ48RyiATtrGOWrHQfD1StGzTrka1uKBT5oLqL0x9435gUhXdyWZgl7c3Au
Na+uwxKlBJujeFqQEfzShcBZWXjjXkzSbjWiMnEEeoQvL213i7fmT7ZNU2Vgi5EjTJy74WXVW/RE
Ewer3XYcQGPsogQ6DB3PUHFL1hd3LSXyg2pEXVRpxgcY6ktVjGWejYG9c488yRLseLhOtwhBRglo
bLOUjCzula6reddcwBY1oShB9Q7bL7z70urDDJPcGsFXsFBkkSlefLttTw0cVclhQyy0vWRDrn4x
7Ga/swLA1DBN5EbpEl3TMNCq8UrTeh2DMMc5uCk66ISjmcj2pL/TUbb8SjpweTvWIaM9QV2ROxEC
HrNT/9w1cIvHTSaG74OR7kuxTiu57uah8S2rNq3NWab4hDoNKjZnokaXYVEJo8xz3m0rf+A7ieiV
IQ6gdPlob0vLCaIAXBR/dCoJ+f0yTYm7U8LZuEqRVU/KxUb21xxk+NU0qXm3KCLIrUelaTosK0uP
rwoEbVygfzdl16QeZ8uv0GF97zX/iplHQtthmccMb+QacVermUHzCOYQudBkyI7N4sx07NTCjwsC
3t7blHU/9kYO0TGH0rF5DpOUNQoWfpR5Hs5LkbQvYGDGv4WAuwJSgGQgD6vm4z+hZxIfEBPkfkwT
D4jcXJX4PkU5vfVtSP+QdKUWz5wMJ5HE263FE//Zg2XzfaDgBMwJvK3KScN8ah0Wfq9GIHE7mfND
36viLrBOVU2M1uFpN4rfzX0aP2maj99gU2FeNj2OJ+r4hLea5sxUy5ADXWvCFJ/w3Nh5lwIZ01Sz
j3YVwEZ4MeGKpvP+NoNF0F1YmhfnsRvbGvEvP6eEzubQB9Lm3wY+tT++8rHSMgYi+XuJUnecHZ/T
8zIjWODRwec21GrtcOVtdCDlQLkZ8U5S9ZiHYT5ECEB/lj7z3zXDNpnOcfE6LIm+AHvPjq0x/s4u
sj3C/zk98azYbqi/6698jaYZmQi+q/tlYScq8DNtG9hYX0nIFecses42SCS2vAM9tcCXjIoURVuF
a3N9m0JiunrotmzFEgaR4A+7XHVWtcug/oV91E9ZN29w5l7lvfG++F4QoatIyqQCaZBUPksMPmXE
hYhZSzIn6qlopfobrdHiUEGZQQDMXTb6LKZVImagjS6sLCYlGjL2feKcfqi2ieV1RIqsgDjW5dmn
gf9xWyOrLikqFotkPfehTbNDMHPcoVfZkZRxCtAVb4cdGqOo3NdgnzLwVucykEHE9yyJwDuMx6J7
IXI14Q/RXU6PsOfGHlL2MV7Ywkrf/FNOGR+VsdrVKGCyWLjVHTZtAQOe8QlAMg88GvLfWnmQifBN
xvTbonOszPu8x23ImYZfWTON6P76xcekgiRY24rSLE3RVRnyre269Kci4iWDJU61iDFqMNSNzQuC
m9a1zJDrfoOm2/GfcwamTyjhfSbGs2jANN1zmcmqQSiTAWtPiKSO0ceqe2LIZGuHUvrNTKJpH3zX
ZxUPe5iOegt2q5AFG0e/cvxC2zXWgqd3nGVF2lVDHjUzK5c+Dutv30fQEMAEEhYlNrB9PasYjCkY
A3qmB+Snp5q3961yffE8UMSrDqUdFjc/+DXdrqg/bDumbZcgML3VEb+MzmdRjVRAEn9TSABa6zgs
jt/Dqlexg1+2+Dt86ru1Ej3xQNOV7n6J8DWFeUTR8zuqRzOULcyh9jI2qfmIe/QndZANAoC1CntW
zzSzP3WMThkUQ9PyG4c521abxmb7tZsQJvUkZpgaHzLtI3lk6VQEfN9BhEOv2VbU0hP4bpgGvrL1
Npj2L6QUrjtZnXTjB57LBpMUDBquIq2MXdXgNV+rePRwDBPxjC4tAcsPXFBkBfbYKa55c4RwtZgr
iHAHck/ThamTgXjC1R3i3eiN72PxqWaDkmO3Tg4HY/NIl6uFHPzoUZ+zSzR7QEsZckdoDZtG1p3m
aXBjnY0y5GWbJhkrUyr3nxGsvlTZhV02h2xPl3/Ck4QjNibL1e99kO0HBJbZUI9wc35kM+l2ELj8
bCp4p+i0XCFkMme3uCKumOfKVsiAK+QRquVhu0JVMrMKfzWiv5eeGhxj6TE0WxTfN0QXoow38OP5
3C0N/xZG9o+pTdRSOd7BcQ4PhpkTEoy2oiq2LlqQC7xLPJ5B3y0Qf861XVnBjp20Stb7l1C/3DOG
24yLyOX1oPsmvidQu2YYDgr8GYEMg/YcwWZoOgRut7F2gSHThEO90x8J0i9A55ujeU0uYpw68ifL
lnREmEex/mx067MS1N3oT5ePZLuzuV6jE22R5neCRX94btq8t7VSadt/2bincVnoFEUNeeONrtO8
Helj4vvmlgxrdAFfaf/NVQLzAg+x7woLA16BKoc+ESbszF8E8zQ9jkvSZCUMQ8l3aSKhj02aK3jm
KrbehnEpfm3oq0wp8TBlHZKG/jVFUPtNtHZ0p4Lm6euEcAJ2aBOKDCof1LLecPHsTWn4kId6Sxze
ywg9SnOSsxYgZiWuSKtNrMXnPvUsg+ZcjgUk4nzuS4anmJ4kidCpCYh814cu7YrkfiU9TmxQtLfH
fUpWzNPCUH4jSxMPR7OKMdSiidLhkBBQDY+R3WJWyxH/NsaQAfTfbp8MOny4QMIOeO3TpsTKgW83
GeJpRog9o/thm/Nlxx2q1fwNTuPrXvV7vArQC+NUH4kgTVIXtvNFWUTR/tH2M29q3KALWOmUJe9f
p/IJ4hr4e3eRtskFeFX+66tXTUs09nQp5zZu3AnlDQRcKXlnK856C1oyTZO0hHom78u9yZLmrt8m
W9wVM8dWPnKW52UafyU5LR72lvUyG5g7zESDSZ4rNGeXvpNzXFPcQq4ucjktD3hryXIRDho68Pni
r9C3VbvXAiT6vJLNghQqABXN07DIWF7Ml6FoWTQg/lWzofO/fXJNDoygsFc2NQk61zDjtKpcBtTb
AruhKi7oBoNxYfinI8tmSooZUJ/7RiB9fcerriratcUTAiOX9y18KZxxcZgPH1k8dsr3O6cCAnjG
xGcFoAkRhyqBL3d+Ni3aIszOSAVCmWGJeCVaK1DXSL9jyw8dzd5ei8hE0NAgMHxqMEEvRTBlstuv
EuDzpt37smvUV4H2biUZOs2ARHio2lzff+tiNyeI+7WLmw4uGpfYHTM8luVXHC1pF8rF07G/92EW
UpUBacH8BOsL4KYBlhLiluE+Vt+4cD6/egqv8udZoW6eLZsx4A+NnqJ69GmzPRCkjT7BrlXMr4O1
DZYYG5bkBN4oaOt+y5bq/H5fBxbfgOlMzdHQKB0vo3BUMcz6avFd6QNh9PfcilY9JgRq93MAqXK6
Dj5fWmjFkbkJdhrfytFPPDknhM/LYzaPkfmVtoGph1yRGbCRkVrJP9ZP0/DgwNBQYLdvYn9voqRb
nlWvM3mD9LIjZ1jo5OrqphSxyIfexSqHFiMizd8dkTQBQ/G0us8Vec1AuDqW0O4iu2WzJ4t1XSpK
EO7X+DBb2J2UK05G+mLQe1xIqsl4xkJ6Ta+xbZG2XE1J1KOnA93f16Mu4PaFRA//F7iGxo2LDMzF
lhpqb4Iru03V7z7Vg3+mliEVVLBWJS8ZVh/xvxj8/fScRRQgwjLhTfwUDIzkriz6oW8/V9CsIzRO
ZOyDr+axoNM5idZ4/4TBs1zOjZVL+mh2Pyd3SJAJT8WwmPOMDcb6AMAqlz/JOuTNRzxlZPmIwwYG
Mkpv5PCleyJ2gFV2t/BkLWWe7FNcjsZE+pEVyx7+RIh2JOC/JAaix7rhps1UVXjh8vu2Men22U+F
FZeFMAgsgMt6w2FsI3V/NKoV7C9gpiZ5TXF6wnFFc70+xUnEotd4TllzGbXqpitvs36vi1XG5lnB
UQADKEh+yCop5xySCXbtdtyivoT3qdrrwcd7yCo2c9xzqOtRfF6aOdYKi8+YIWadZduyAo5BOh6m
DALMkZ5E5nNzCiAI0zqXMuprEzPbfKrcegAlJMR6vFk5ypSXiK4IFvTJfEFFA4PJJvdZ0tL1MTEx
mKG7lYy/BouadmRJL5fXiAwMx66IMU/iqpMdHHwzsgORROXf760ahiiU2meTwpoObFP8gYzO0xUL
XPwsX5TQXlxHBPDaVzSkKSA72qF8XmAo1y1gQ5ivSiAmAI15hRTJnBymuElthXwN1390PbgY+sG4
Zto4wBocvHeLF428T920EQv+LC5uUhWKDPEHvLA2RWqxFBlKYpGvCgqSOLYc2NM66fWuD3gbfmTA
AtdjWvQqqdDFzeESDWLp0AkJ98CXJvJLSRKj1wtTnrVDpXONfa0H622pCUsS+K/N257dY7VbZG8x
4dbFpVNNsn6D/2+36MrP8Fh5oNH4FSqoZ5tvH71Hh+0r8Ik7bIDJhpzzO3SGFCyQBQumxzHNG3KV
RHD/lCDWvQMxKJulArGGwLRsLldje3HkaHyKO2ikxILuRM1Ld8y0aTuDayppgZKwQZtsAGLcT/5h
tYGLEo00aQ9xl4wxfrFl4QeotRxO4hcAAhf+fLaHLPDFnhRVkak2Mi4C/ZGFI4VEMHq1zhjoylQM
bfrc+t3O9+uSx/QCBwW3AzowIxoI03Pcg03Wkgu4f2Q6RNk8/Wl2TdgF3amOb8gampdjvw+hwxUO
X95LY3c51iIFffAlmVNBPjedRaxCBxalJ9valj7YCCGACLPY0u2c8qwHuNImHX8ciSNA65bIZQdC
iKiTMSEnWHMt/XHHawATd6yNsdXViZUn0WbrWGVpLHMoyea+vQ5xtryD22BC1XTAQGot5zE/blgF
Nwct/IC3XTuMl2A3UV9GXa7356ZzNDkg6JlhHQBIYzy4rSH8FcpKp87FHsv2z7Jj61D2FJrVssEr
uvyIoYxIj0OXNcu3vkD//1YkSb6/yGTPkqNYMSmfEboFiQ7UBBbxGoYSjaaeLk29xyEHGAszhgi3
/MTjiszrtrwDsNrdDbIsktQSG4XmmFO1PmgWwnwmsG+aTy2kgPoRINn0OLSb6A8qZAk/zgIGZkdc
cNFc0xV2I8is3llcYUkTzbL0g+K+LiYWr3+Ms3l/wLIVlAx0BsOCwY1l0z8AWH13RBOzhBI6LWLu
mwXF7yRN4ZPr0EUsfg9DxIv3Puv5mQ4O5wzDLAJ09rHPy6IQ4I2EjQj6IHCZNFU/mbaouzBk0HmF
ae8ACyBa64T1S2RKOPBoc5vaHLuPdYhyVO3JBSCRqBwfuYe99jvzKJHfYfWIybVE6LtsL2hbh762
G8HnSq7od9Xipj80sLb65mCYga6Dq9U/g3rdD+9x0WbvmFowhAS5wPWKN0SlNz9q0fxDAE1o3hgX
66+phTvEwQXh9Z0boQ0BqI19xv0Sihzo9poz8dA49Nn3fcbYjGahGcxbyDXgDZpqWAPkXmyWlrzf
GpqVqiWR+9XLjQ2nNrF9Ay11LP2JYjfwz5GNoPIlez83JfTnYUIQFSihUwnqinp0XE5Xh7/rS6/I
BpKE6bInb3JsABTs0b6JSQP4Wxt3NttS3CDsdM9p4jx5Tn2KxUKarQxoaj5l/QUCz30E2lKQvzOX
+x3bHH/QMct+5piWj9katiOVwPLgcAl8OZUAexc+YwGRwGRrzEBgp9zPD4AOYRuyTf2VQWZ0zPH/
6iXfWW1nBLATr5CQCIASfU83kTuvCQemmYTnAQv8H46SAqv9yOAvgqBzk4orQM9Ov5pmg9gAAs2/
VAR5Sa03R9vsP5qwrQfkJxkg25Y3f4lj7c825P0xKkYkcAq/HyPZpg+5NK0pd9y/155xspTTpDNy
hNPPeh/RmJyNSeEntY0UmWtQa1aC8+YXHmf0s2u4birTImHXG/goh3QHI0XaZPqXSYP84Gx35i12
i34c1BTu4iLHTCUHqsMxSqe1w/UgbFoJNmDHRQUiQsErptuBF1l8ASk6O8fp2p7Sltg7mY8KOr1M
f7cj4PjW8/HQtfhnyg4S1RbYMiVdmW9hP0ebZn0FADqGiaXob3pW4EylQ3fqjAPMAhO68eAHMtYU
/YsoE7dj3rAaQ4Gb5ugxs318jUGrfxAsTQ5b+oWYLXvyQhfdHnC5sHudJgnQro7wP53OMblm4xYf
k0Q3R6SW5C/F3raPvc3hiJimRa1J6IuSLn6/TEUSDq1S/IC8NgMrSZGRajEm74CpETjUDgt0zEhC
2npf9ZxQ5ErM3d02aMiqVpydz1ksUMW1wOY45rSSw+/vMIh0vPNNYN8wJWffZSdaXqMkKFXxnCZP
WSQZKxN4s/9uI/icYbm7YqzblFLl1AdWYqowiBjiq6x7sHNeFj5hP2hcOvyKSLRdsYFofvIuZOdu
Z/ZJrxNoiCP8/+p+XPZ66hDNHvIoviIZzPxLxddGbMBzDtbj7mRonzF3ZmQ9Y0OQgrLkgUVMWDPC
zL20TuzApCx8ymGso9wNVziSBBOWilOXLMUrVXF6T3Q7QzSsxFYVycqSr0BGgJKmz8AfVVDXQb6X
+XpFMNDDJIvi58Y2e206LONkr4tLGm3JgF2n9g8N6HSHDd5rF7HDDxjmmw69AezTqn5oxXVNi+QH
kHppqmkoxB+mRFeBc7fVC2aP+4gl8xPD3PJd0gFG7hGMCgi0KS1RW513yZfmJ/UJLTVM6R96pO+t
5WZmNDCUwOw9igv51kUDudmW9WM5yXx9aIpiO8vRrAD6cfE/NySJXpCGV8xH1gxYwMKQfsRCSPnl
RLfuC2lNBzQ08zBdZ3Rjp0X3/rbmZHj2XdZWW8CuNUnhwOJte6UL2OwOd8FdloQMnL52v4/2HeQg
QL5phlPYqRZ98EA6IPcqOXYs69ZyQipIpTer72c2OTgOhe9iBlE3BhqDmcGycw6N8dO+i19iWwM4
XBJO1d2Y3UUeAu/esxV+EWE5OCwG72JOXWVxyz50q8LyeI/eF3zMoce8EiOm6HNH6/0xgJtTtVCz
QhTX6GOS7Uj4hICjnNicn2DAiEV7pBBaG8ttuBsh3ToqKDlvbvUaqMrcXJIskH+hMdEN+s6vjnfK
/efml/jiTBdXLTjsB97v8m5ya/plLeKeNtatt7zgKUAdTZkq46EzdZ7FSYn5k9RzoYeHUAz5+9hi
TQ7BynQKRYBfBRrup9zs4cwj3mJi2zVaIr68DBJhpJNYIb/dW7n9hS+lO3IQwquNGV8ZzKjYPCHj
ISMc0ulJRKdoHeEgXPAEV2wsgYJtw79kcC8MKeyQgifDUQK6fxVqY+UoAOmWKIQNVu+AU9NJfEtx
0R7jFDv5ci9k0t6A4I3IE4m7QV4NHJ2yJ1zdkz3CjvP7jMlYbDWc3eRyRyfd4pde9w4q1bJ3kgpy
QD+VpecA7C7/nsUdcuFFHm/uFvc0RN+DirbhuHT5OiZY2jZBfBuKJTRXgpwgTPlQhor1vKLeL1jL
Lm6LET86AIOqdwMGI5BTQQuvS4iWDXyMi0z0f5hFk/kTXqbrdpgyhmB7OAdteESsTV+mFgjF3VQ4
wBho3RE7+YBxJrRXfAc6PewzMkFpuWwNanA5zcWS3LMAy7o3iqVwfNlCFNDnj6vJ2tM2Gtk95xEV
3T9kg0OeF+dmQq7UgoWU+o3ZSc2kTLZpWHHCW1hxrss4Jq6UAm4lb4FZld81IHDs5xRa8uJewjCh
w+U/z6S/NkXDutc93qj9W0gn9F/K10G1ZcLxlv0zdCUavbxHVsmRr1Oe1mHZY4KshhSZHH7c7NCB
hbD26pQznk0n03W2h+sesEisGFoU9aFCFvG8n1bMM/pZ7o0PdwOPvQG7IJXN/SSklT9gDzvR3x58
URsBnVZD883MLThcpTGKUQxi0hfR18jdF7811gDBndBKbQvIPDFMpx9jGrA6KwXWGcNphtm9BZan
GvczSsPSX3FWexhvwwZ/A1XcYjOZAV7lf7glsHTVJsV51kgoEBXJMhO/j9Gssfbbks1FUPYPof8F
JGvEZYAMH/i2jwU8yE8p4ueXc4KL3L7xMCGS9aJiirFzVs6aM54AYkvqpIuwjYIMaBjGP/Bim/Ul
NGgy2zLCxDR+EGV08ZANSbS/wwQzma7pEBZ1wMHAY61Ax8TpZxz/YcCAwABWd5DJ+0seh46+DVOC
ylT2IlPJXyDtU/uGN3FYX6DW+kqxFk2eTZcUvhKgMeQIrAIszTZe/Niw6dJvw+ravs4WzGLPYjf5
2FbpnmM6iTDg2FNfcP+1+so389RYBBk/ocuJNZACPqZgf5CVpTuaMeYUVo1Ijnhce2wlr0Wwatxg
Kejsgh3ZTpByQ1TsxHu6N2Y+mCbuDcr8GqVPdO3oUJRYeJLiHi4xmz16Au/1oxyQcooqbfvcXcc8
GzJVotvdI7Qnqunbczcv+fZ7XQHvoksv5pC8RrMY3ElSX4AJjJVbvh+Rei6a00ZN0QEWiGA9/Abv
QG7AYclofxkkCSsWwm7xbxwMDWztIp7Hwpz17NEztv3Gl0vTkoKUZM/gfiExf9hnbGksgNGR6Ya4
EqNRAU6YoX1n0sMMSdac3ZSLPfdXPEA5h+MsYZ9Nj1nRqvAR6Q0eGqVMFjK4I4CpFVjGsOdJ/1PK
WXWgq64Cb2gHipl4RHc9+w28FZKj0yFS5Bqr17mPbYdKvQu8sRnQFoyfIGUMFgQaabvoi5wzOPao
OAe2ft5tYrEz2ElXTHMtVg4eXQkfUea6gy+oY68w5tAaCMVEXf9uI7CinoCrTONzN3UN+wsAma8v
Wd+S7E0meE1e7eb65BuLMezjrZbw1/qE5XgTAliWegbcBa+HwEgdZ/nC7r1dg3joZc/yh4Tu7fgM
5B2GkGoI0h+UmtWInXwcN3HVG+vm+61lW3ct0kIWz01mffjYnJUdVsIzxX7baTbh5lggtNdZXKyv
u4Imq/riSWcPUtI9/sOSL5nICbB9X2C732wTyCEqAmmMpc6eRtJm9JgiE9Z/8tnT7rgY3tD7senX
VlWWzJlfz6C8CN6eMhXcDupoZNrNVpOdRagmhQkYON4OXtql05S665bOvRGPBuKO/mHOJsfexwkY
TEmD3obD6JbFH+C3aczB9Fv8AHZE/K1TEjwbPoE/VrdJFH7qaAFzKXiA8AfjMTI10S5eCDbtyMLa
NKg2vP0WCRQbALFp6rHDMQmmQdD1DJhz2XqmeEU3+J862t95HPGxdAskgxcAYkTdbykDerOs4/9w
dybbcSNZtv2VXDEuRBl6WK2KHAAO75109qImWBRJoe97fP3broiqkpgZoVc5rFEsBRunOwAzu/fs
c65e0lkNtG4VqLK6F5MIFnfSKoXmeBaaJhsFjbJzoxETcyWRAOQZ5TYbUk+zBaexFWfWHDjN0Kwm
Jr/bJjRT8YhMtGYGZ1ViXoTHeC1LeUjt9AJg1vZzRwqCyf/ue932TDOrRq+yK3U5GfM81t4yp1q8
gsYaA1exY4quajBSh4LUKemFDcyeOppS1LxMYyj9o+p0tfKcJTrfM7R692nCAXCeB6s33EV0wQ1h
I/IIEdoz7LtNq2tEWesNOd9sbxSD19lUoWKFqHhloN6EqNglpbKsxhX8R1F7bDOcOhmwpGnkogca
EIlb4setWHXNWGUtzKbR/izNKF0ekAAvzeRZNdZyWVjWY2EpB6YpD9KzmdJ8yFI9cI4V3HjnFlUR
R6mrIcknN13GvGePYN+x84jeQVyPClWZ3YjGqCA3aR5bZzWZpL9ybiW+LuPVbf3RMljNvRAh5tih
zT4gXWb6JoqoUFEIeHHPlHo9HtvcXOxtSf+YadtLz1PUtHFZvaUM76AfPRFvtS3rOMXVXNcUUajV
Vbaxu9C0zsoED+qZtT1ekAAa/6B4JkNNPGwxOQErVACs36lp3S0EvH5a5r5L6O9UVuBmY9oT9qZg
1HH7IlTjVWPWASWKtcx3hlPWpbfY+pJ6Ac1Di5OymUlXmVEg3MvcgqtpzCd9RS1SvCS2QQ5aZCi0
UhVgfmVtsjGontrVxUvR5hO9rVCgj+CYdMDf2NDpGR1U6MXoqo8dc9z1RqXopFkjqrl6HBqvVdwb
9dmOJgMqrBvCcwMw0W4SW6kBvoqaWi9VlIuzJIuGmvox0e955Vyu5jxmalyMUmu4ShXzGGELqeN1
G9Ag9oi5F8snI+hN2vspc6dPQdmWla/Mdf7M9tqmfmDykOpREtlen+sJmST0FYE4kUChLKO2XzyB
CiT9oevzU9stGoVF4fRfraDujFPIZkLFkyTRm5GpzMGAfgxhZS0z1TyylueCv7kN6MTkNB09Kvsm
2ZeLWi17Win1sGEScHuuyME3HsI+n50zhB5Exjyb9uMgQwFaWUfFRHKildBxRbB8ymp6h9CqsXEw
GLeEvJuWC1tz3V6O/bqwSjgdLa0dL1fJSqX9jV9KTKlp7Gxo6cm1qevae7Y+LSHpJYnVa7o4rBcT
M6HMa1ufni2bceenvFhyAc7T6vejPueKJ8J0UjZmqYgvTla2zw1dq4gmRWUWniYVzPEzHYvanYLa
eS45Wu/UCOceNRZxU6qiPFLvie3shPk+JfdlEw3K6GWdBUdmjll1X4R5vZHsv55iKcOKEabKo5wc
7b2bWEViYafHWB3sc1SSwBwMTnvM9Lx5QTKmGJ8xlUvc3ldTLzjwNy0uV1W8isVUdhltzEvJIHYz
K/9jVoXsQB28Dw7/GO03lc3IqkVbpLPici0wlx7yZhDraNaHTR904U0y5tE6tuvinDtFtut0YCRW
4/hgizbdJaWp8RnnoZ+XUl2NaTadknK23VpP4hOBv/Iwk/Q67rpZwcWoz/E6LDFhrQvdECfLaedD
NQb3zhAmn+ZgMJ/qKAfd5HDjhlAfZ3TmxQ+ZPut2WgM7KMf886L1aewOeZCuB8ZVu4sya26YhIrX
6HG5W9TMPOqpGW2p3HSExyIJ1hzGa3mpFYrzXCWhVzPtfVwpTNCGY57z5ZwoRn5Sl7xzDRCVXauB
4SpGlm3bpQ9WdUGTkWGNE008ObFXjuM872hQN+8IxJnLjW24wG7AtInTYA7pjZWoRO6qXeqE/hDV
WeIh7Sq+0zK6xEr6+ljozCBP8t5a0/ewN/NgxASQhgX7XJVf6XMBQlRqzHbtmnx6qeIA9CuOZft5
LMS0lrWZHLMhhufLEXZHRlauZ0bseKiE3ZOWZ9rK5gtulE31jRkW/Y62QLq4TdWVn7kAk8+JvcKN
oENNgH+p2VUgen3dqKlzXzai3LRjK7epzCZf6GmuUtyYw4arz8J3gQnHGrBwVfdL5JtO5rz1dOt2
jdXm96VWzSmtw6J8UGUZNJ6Spmj/HNnu7LSZWUPn5uD0bcCmY6MLWHpLaVVnB2SiGLkK3vW4KMaw
KgNRHxaHkw9QmfU6Afb7kCHGXmoYMSaFKExzAacZsz7I3X7uBUY5I3rp2FuPVSmpLKaeoX6hWpw0
BLFtZUmxyzngvFt0rp7GtFVfLXPq9pqRt2yuQWfTSDQGr3U6018sgMauIeF+lcZSuy3NeXy0HEu/
DmVt+YK7jc52Hm1EmsDblhbcLg/LmHi9ZqYQMUZKLTgaq7Ebqj0C6nDUskpjJENTV89da8TrIVLn
k0XMptyObH7Egw3JusD/sWwnrbOKg5F2+XnKKC7W+iSzx2jkqXDBuZ3HyE6Nm2WKk93iDMN9GeoN
Tg20BS9oQnsFlmr0HDdz500mAaiKbrXBXZ8I26/GcFjVnYzo9Nd1gGRTBNq70ofFVl1idUUjKv+U
QH8SK4S2bEH2PKnVpD3YXQ8Kn+U9QFEVnhU7qO+mtoENDBivd49sr25gtttNaYuEEwKOSwrIOvIF
kgGNuVk89mXVZ2yRRX2jVWLwDT2VT8R5sMpORUyezZAFpt+3Ru1libpcq/Ey9e44p4q9CjpVqvdd
Wluf6jZqGXBxObJHzG3dJvRHLyVJuDNDe3quImnf9spEL65WUj3Zo61KSOc2DYw3HQGVWq5WC81l
uJKxIz56eFRx8cuNI41J7me6ffYuuXSOTErJioPXN4FQMnDEHeTYqAdtiXoY6xb0eZxjNmpt7MIV
20dzLu202gYLxLiSFZOvdoWyztKs4Jno7HSVsDnC2JsszR5LNuIF8/EEKq1Z3kx9K87akMpwW6Ol
nystzfFFRKrrNLrps9oRop3V6UNbxZbwsdNE+dWoNmNwQ8GdopnNFedJp3+i9hwTHzlNdC+NA1ej
8FYyHk83xjhMGWcENBkKd2jUnq1qFH1ZS7+YDCt6bk2eJfZPtVTjemMEHFgXsLmJMW4bLsSycIsQ
9QVw8G/MzpDAQbbDJZ8zj6P2gmOBs0Iyhf0GHbi+L/Su9cy572/YA4SfRzFQUKuYPsO0cAdRQJKF
plTnca4+i8np1kjf/a1ILXlAMxuex0CT52wUauqKZaBDnorUDytLXde1Nm8TYypuQiWJtiospRtW
2eCiaVqXo/18B3/XHHvAvxur6UxPaYEQ4ySHieI+1JnTU11ksdLY0uOvHknTqO6GAWA0Cnv7UFMq
6m4GjXaRHTMvG6cRiTFuHvu+7ZkzNrYMJLXyrT5UwYOxhOHaEWrhEkQ5uwPNIJZukyZyaUT7xTb5
LWFVPmZC1k+hkk6YMUKVfa4pZ+wUOg9ayU2cDSqPgoNcYZuR5bVB2mBYmU4LPkOXTuOygqi3zkY/
Tfc17Dx5sHHwk+CBPzMcax8spSVzb2QQ2/ZaZa6Ib4GtM1u3jCHFmQruRij9T3D06s5Rayz9EV3g
qiArYCTGtXRt/BHbLgUhJfWazeqvrYbqxYT+zyx6H8zpTFDROvyo9prnTmvXWecY0bnkfF9vdHaS
xFM0LTR2DE0gY3voQrv34KQi6UGWlP1P/oo/MTx+jLAPp6WbYqWx1yUn42wVR9Z0sgNOKbrKzQOf
bjm7v36/f+Jg/Zhm39Tt3Bq6bq0XNAL7DnMHc/nUHPZpm8YlTMZfv8yfuCo/5tpD7tQyHzVzjT6p
rToyuP0aXOJffBOXj/E7w3jVmENLSqu5HuwcDEqlsxjmwO4/G7/xZx/SB/9pV4d1XoUBKWG0ON2o
mXeBTK4IYf5ZhuKffTyX///dG+hUVu2LC2DtGLWPZ5t6kBiEn9xMf/bL9R9/eTABbJh0Ddch9BEr
+8DKEKEA/WtX9oPvXEsr3ZwVPhttySElOtSWdil/Yvz9kwCHbz7a7z4Xq1HzkbgObpsIEeitLeJ8
9IQ1E0uMCElLtuJAmHPs6czq6l97Px+ef8ec6n60cwIN1AkXXT8bh97u9du//u3q5UP/J8vLx3x7
O5l1a5hDY90nQW37rahl6TEhzkzfrLyge0hNF3bA1FWrXcMBLMmz2i4iWFlaooeHyEiq8N4w6iZe
ATeMSviTy/jtSfzHP0wTlz/4u4/aaQebQNdB8ae1s5l20SfDgPR0w8+AdvP14Bd+qayym+YhKFf2
T57bby78f3xRoX2479tpKeq+wGxN6bIma2Ir0SrdfjOlnlyvutX95G6OxnXiT159Xe2dLU5oP7yv
PM1NV3RDvl2Uf3+d/iN8L8+/v2D79//k369lNTdxCBjz4z//vnkvr17y9/Y/Lz/139/19x//yQ/9
8UtXL93LD//wiy7u5pv+vZlv39s+6779fl7+8p3/v1/82/u333I/V++//fLylsfFis5uE792v/zx
pd3bb7+oQqWRYXCD/vv3L/LHd1zexW+/rN6zKP7nP/T+0na//WLbv+q6JMqJSkLol//+8rfx/dtX
rF9BbnUpbVVquqNdgl2Lsumi337RnF8duBpTWpyADWFpLIht2f/xJUNo/BTRdkyH0Jma+V9/3A8X
4H8uyN+KPj9jhexafrH48cnn3TmarUnDUC2dOGEkiR9vy7gw8ahIGAoa/gc5LNTo8mUUcbppl6A6
GdNDbjZ3QMoRVfGFPYjhK4NeSg93dAtOOt4PE1pSU8fKulHwUgJtj1cFmRB4K4tmEyTxGfKZvOSx
bx+YQPU+Vnb7oMbNvTPmHgEh4blNCAq1UlpASn+rNc1Et9INVWfCm3EDzhqsiswyvS7ITlVWHOO8
6NYL0d67Bqwd1/p1ri8zcuAc4Rb0knqQ10MO66XWo33lAKu1QAkN9SV/gkV81KyvlDLwalz8KyAT
eze05pelN9or7oeHblaXLxeCCxaxVtun0c7qjYUYAC0/rWNfS9qScQPT1URd1kftMw+7cdRsfZPG
NU712U+BTA6FXqyRsp7orVXwHmi+sUNoL0K8GdFz0ZrXAgNVGOGOtIB4C7vGXJM/J5b1qaex6GFd
K90dRonRb0FIapV+TNUdRYFbWAwN7yCCViqnT3Z6PwzzDoNW4U0YgTV7jHa9rs2eLN2p/mKU2cLp
qWEQdEO4xYBI7mY0U9w2THI/yaGhQ0mLFcUCoDlfvDG4joO03mj0aQDTB/irSD/A3ftMi3OoMWC+
jT6ODuliWevWuZ4ivTsM+XjXRctBNxt5zSDNGvlI9gfmD2H/idHroeX3ZI7DXPRavsGKSWQUfRGX
Y3K3CYqevdMG+83pLxwTQddAxQ0etAoGBBOf8FxOjGvuhOYiBAtAc3ql/BH1vg3DM2Dbo4jNe9A0
cgBDo12H8pq+43vIEfgUOaM4aRGhAog9OztfcDRFy17TG2s/Q+OuGJTVrR0rfprU+g6u9kZmSfAk
R65GVngR+vx9XaYuV4QcqmWC92so/Hmy2gP94mGbi4voNyaHflGLbTMQez+XHcadPl01TOM81k5/
q+vdeO6T6KEbI7kGf2I0RlxrJ9TCTVjQWJij2TpQI2W7IAtukkqsu3luThM63u85Sv9XV2JbCl3T
Ofn8+UJMI+Kleflh/f7vn/pjJTZ+hb/G7YQQazvfr8SW8yvTVGnDCpQeh6f1u5XY+NVWNVgUi+7A
5Wf4I/5rJRa/4hXVKQENDeiNhfp/sxL/ePRlHeYVHCkIS5UqlJX9YR2WWjxYbTbZfsfqwFq7zPOT
nCttxSSdZPXdJ/PHLvD9qv9j1XN5LccyuDktaVsab+7Da7WWsJIxJKYZgaz8otRTua7ihXo07dJs
E+bVz+Livs2++p/zx++vaPHZ4w8VUlc/BtvLfEmdPg0s0L9J5m6VE+zjEW2Rj25h68Wqtwf7KQll
von0xFRd0Hs9dItZVzdgI/EOj1F4UOtB87MiFFdKOvI0qlNa/SQ19sOx8fc/lAtumCa3go016sft
EKkmnccJY1RgK/JkwQBtHNRmjaOaTUQX5plLs3iYGA/YtJ+HZpkQmLict2Hfpw8FqAVNiOVn4ye/
ndM+fn62rgubA4POnfihCLBljTgvZ8vv6UyfujEDZx+1MvpqjV18GDVcsnqRDgdal+NDDqe5GkPb
2aJE2Zf0kPx6nqIDCMYOk/lNooblHn9xegiG3mEpj2X6phhUXbqW1Nus1MovfXgJJpjr6mfn8n88
cHDzOTbPjabrBoecSxTT9+fgeKGH1dP9onEYHZtLdozCuOR9pkbBYzkX9o0lspr+b9E3t9DX41uB
sIL2lxeM1iXb5y4bo6NoyReo7AxsjZ4OcNyLIrMYI5u6DUVyXTbhjjyPxheFPq17BBR2fTs+Lc2S
e3q0nAsDt2iUPySGqd7TUdx2RbzFZMrxpZWjD0/ZuHpS7xNNeF0V1F4L3M7G4xyaJV73w8GUN0Pt
PDEkGrtczxjHMuju+sY6zEOxd5z8LlnmNV/YQMJ7PfltUNF+TAt3TsWV0S13RXxLFkW2FxUhFHVw
yDjiuMXYXXex+NQSfuMZMRE1cn7Fl5q6cYtUO+cl+TlcNBqYyyMtr0MkrbXA/2rbxhekwjcYmdWw
RPdJ3R7aqvXAeI96Ga8xmV86v9G6Em3rZUJ/qMfpzRrtCQOSGXHOSY/LEtwSMpC7UV5YGCxtGzeD
g1idjfpJ73tJ37SN0whsWK8OplUvpw4jGeCzromDSgE1uenFq+cWIc39nxROl+X+u4ru26Npc94F
+MZdSILhxyaEnbep2c6mjxoIVw3yg4ViFEdO1hs9nxoPF4FyJ0ssD75ttWnLJp2NX1Eimi9TnQ8P
7KzKG7BYurUB/XyQFhMKuctzhCO9OpdR2W6HYSw/gS5lOuk3+fwm+1G966ugPKCcKJ9UPQ2PYpmb
TW/kOmTbEpm+bYTOAToK3qO3xM8emMuK8+HRZx26bH+OoZssAD8+LyjI1UDIkwX1LueTmZJq7SWa
YuwqiomzMhOfw9EQW6qaLTda3DTHXC5T5UK4VXt1MZyHbGjh0nEPfvlfbyPOZS/RuBYWfrMPXRt4
5HzIzNH0Rxrwnt6UXxkBsKvFkGExDn+yMv+Tj8ExpKZJcpYdlZ3rx4+hjDRrdGZkHKbM2p/CprH9
WRfZTzql/2Rn/OFVPixOmZMAf+mN6ad6HL8LVPZj28Lgcl/CHxkMBlv/9Wf4oQ367a52pNTl5QwB
zXSp9L5fDrlDk6rSatMvTF07TE6aVa7Z9sm+gZR5dEqjwtk8OljbtFx8gmcqzpJc9dVf/xn/UAVK
lBDbkJyLTKpA48OnaxCmCjRgXi4lWeCo8a+aiXgWWjL3FolfRrdJAfrr1/zWXPr+zsaGz+nJZFKl
rWnC+TjzAEZEdeYssfxsMefEjfoW9b8j2pcN1OHcA6Mm6cyTGjboN8xbJoJsUdtgLXun+Nlc24/H
L6w3pmGw5Rsq6L74mCe5GCRS9RY3VRRmqW8R+LCqGkK0EhP+4K/f98d7jIOFddnHWRAtScbChysO
tKqhkyrYIDILO2mW2GiY03jSW0znfEo/G0yvksv3YQ2xhMkawkmPdROz48dPetQ6U8vVMfCRzWfi
0Y3Rk8E0flJISWpxHAXo/SOeXxbPGXt50x/CrmtW6cxIRXWe7A2nicwXGoMvANpHVIFGXLeRbD2m
YC0HzJH47aS8JKswC4sxxzNSIIqPRbpdFr9qFO1P5Ao4WDqVzlcX1dgHoZwfZ/wHrlBU6ErH0XNt
VWpLfRqpj974hKKrjuzi97zTjefAwItXx+Z7N4j5VSrm6OPbzr1ssfJNdZkiQ/xCaXAcAG8FNx82
CcktPkmduUeIUHa1mEZBZGJEfMNkBT1sG4no2P0WNx6c6J6MZlRroK9TnmM9YFKKuuqq3Ei9Dkls
1y01jgLkNO1C5sz2Q0kaiOKmqRoP7sXiGbqTnSR7QS7ysdKt6asdz/5ELtEkZb2bp3YleozDrNyG
SdhRma5H+LSjMKOSTJ9uOAVarT7WSaLfDPEsTA/3Z/9qkKa7k46Od6gV2pEjQk/CNhD5kFY5TgI1
aFeyNJ2rxMljxN7MPHeMsHgr2qW9ntoWBqoSaXoVLkG7rTLIXhr5GkCxo34qILKeCq2dzPXYGfNt
naXDWUkvcbNTCDnl5Vo9r3CQi4eYvKEbPZj7B+Ru6RWqXdxTBZfbqlTSK6Wqwy0ZMQpexia+6hMA
J6IYBN2X3N7gh6mu4Nt6Px3J6e1JYHhRArXZmU3cn7IFVjCD8IB6mvXPsHahR14iedKhkpFktPTP
YKQFpFMa7IfETjlGpeUrcuVwr+HN/Qq0Vz9mTrmaimGEDeyUp94a69NSBekdVhOy9VAtX6e5L4kY
hMyWmHGMxHCNcFRcRWCJGFX7vSDF4hCEDcFU4agRFNlCkUPnovFy256iwOofmjmbmNU5kNCHHdwz
CFQ5kjwQrBrZWFsxtM7ObssEY8OseoaMpmdZ63ii+2JxbUtfUM0j5jdQYBzN0Cl2WTOy3JhYnFLy
ODzEUVyOiVhIkjCqYK0pYXQ3QIv6wzQo61R3nOugrVLyxhSWSOwsp47eJONIOlD20kw3RaUv101p
hPu2jFpEYODgQy2j9JF6mMBhzKW+VLtoHclx9AbyFK7KKYx9aYIBGN9emJb/UwnZwCxSp/NmUjLW
2Lfn1azICmp8bh9wAoR7K5rjc7wE2Y1BDMd6hPE4amH3qcmS+TbK4mhX6hCAwZA6eItxl4IFT+6s
TNoriaro/04NikFQAA6XtrvSQOBCN+CTsdZlaBn7jtDR0K1boDa3yQOxzi5xlJUmpitdTKqXzbH2
lpZKcDM7gWjcrKnDQ86KO/sYi5D6kxDTSDqbHsJ3slog670OS7lfC42JwHElr9poGk5DThIR4rfe
XkfqBBcwZMjK90OltLxcF2lbciSKqxBf5abD2eRFo75oXp9aI+22XGjeVCuKL4befCt1hecHhR1T
pNkdGYeo+WVjvNR4b54ZG9hfp4po8PWp9nMkRbMl/it+DDGQXMAsHe6PNIZVrykxHTS1W0uSk/D+
VdGLVJVkn2VQ7QGejz2RUGIDXULLUZQXY4SqZIdFh2BNG+x7BNcQkW8pc3vvdHbhWYpKjAHJjDgP
Qv3WClPnUEEaH2aG9b1gcCCMsJjSfVyZ9afJ7vFJa5l6S1O3PyipqfspfB1OmS7+DNy5cIc2TMcs
qvyuXSq5yzMjuGpVpzxp9jA8FV0RfjKZtUaeo9k+45UhnEsHbMCCp5XnPNTH48T0Rp8NhRJNpYxr
giw7OfW4aR11YqEfFqxs5SkeRLXB2xofioxzAmXPGBwG1VE2kqgwKsGKw2BRDuQO4i/GA5hB9yfh
aLyama4cU6Mp/Utu6XFRAd5Z5UcFtUlo93ZEuzoq8JcoE8ELsk71TZ4LvGpDWRZ7uxUIeIqtZ9MO
rfYy1i1Mi+eiWwree7a8cbEAt0NF7XJiZYzqlITDsisc8VQUjuZH1OFPSqV0Hqqvfpr00MaQnjXF
nUU7A2I7SgnJi+2vgz6Ie3wP3W4Oq4pQEMfG1pWU7IVpIh7KFM9R17XhA5WBpbpQmdXG5hHCNNQO
DVkJMni0G1u9beBtjiRH23slKILThOP7rQUVJg2qjqL7sVhge4RhvpP9IF+dOCr22qREfsnYvIMa
OMqqwQXE1m5ay1WbjsszQRjzi46V7MYRjIdyO0sZT6QkWaRxTAsWWXPwJ67WEYSCZJhEVypiOZ1h
YxRG97WgA7CLpdNuDeUCkdiLHqzUsAhPeKKadSFw0VOsBKcgN8bMNbRRHHiWhBuMENSe2Wr4cGo7
3My1DthTpJxPEJuZTYe1o3lO9Lh4HBwyX0jaKusLGKpwbXGxmHdjz/isVMTKFcYAaNF8zP1qDhrG
ggWK+WwURbnGbVcCJxbpfsxD474V8XBemlBuzLyzsTo5OS8ql0T3WQdIlcwYXHk9wY4YqyWekj0V
mLYm9CwDeA8hIbUYF/qYD8kuBKhaA/4wolZoNl12WsJYmog2jI+pk6EdmOTZlpxh90YxZjMRPkp9
O01p/srsr3JTKH30tbPy/tEOUHzdIFJCXP4w6t2qS/GAl3jQvzYg1uUmJT3haGcae61jFqeuqaI7
QtDIaGP8yj5LItoiEWwTQL7Rk5lvOA4Qc5bT/3BGrT/zWgU99XFKb6dFcEM3o9DpY4/je1ov7QsG
aMgzqye3qarsLdIF3tkWZJmSWJuwDhXl1mhHLpIZyMbPYmA6tQo1X6+4hpjK8NVodkBWNg7oz5XQ
qmvkSd5HRxM8B/ln7FCdNGuLiNG3SaD5uSQZxV/Vls9wIRLy82JUwDeqnGwysfJ+HNzULuRtqEWE
Ji+MLMeuPWALb+Z6WRm6sexknHXrRIIfgVKXuidJuupdZbIBo9Q4Nz5hamges84mEaw0h8tDnMX3
alpoX6fIHmHHQxWHUMlhduFTXWPcqM9LUBubSwwIec59U+5MLGun2TQZZySIW7jXlrL7WoL5bySZ
RD4UqHmb5I7zQiRjtxFwgneGpk/+GIrmPSMSZ0VmlX2u2zT/SnmlXfU4Llg8RQChlYWv/aQon/Ow
jO76Ma9Ndk1V2y/1WHmYcOSDvXTdfaU0hAJaOPvwLCvGKiPAexsNIxMDCZkjtjExjLUDaLxXxiFd
jXNR7/QiSre4uJZj1sXhlbqE9U0pL9YMWyxM0OEQc8IW1z5XmSqe4JGc1xDS3vDtYSqJjw2cbFUP
BsirMRe7GptV64o+iq8Hxi09poQMv034z/fwLuLs9Fp0ngVmH2J25lVrAUvvWBjlgS6m+Fo5kqDK
JSniG53b6yZSiNQAXhvngbBHjHAO4HNRzEChPCckUeTNc50YQvV1gRfQJRFayBVHuOShV02slRxy
STRgdgNxazknWLXWh2uuuHwaNYdrKEIcrU6Kof3gLEI7jeV8WUcDx+aZ0CPnNFrp8llEYZ7vR4Ok
Hj9Su2RcmwQ/YSTtkmmd23r+RFLO3LvllJcgZXH9epkJWSBdFoXYODX1LsYXk8OcoxPc4DuDTuNR
j3CaZgzgFisFM0N9GMhd0lgVgvqWjsB3/iZFzs2yl3NMivwSqPa8yua0wV5JvKNy/b3tiZ9LH2Ml
xpOTk1rquItVA60qAeZoUgsxxRK0qW67eqyrFb4DTl+/+6IUrDF+JGvC6MihsNPz7w4pKzYtlAf0
zBpP4UMQtPmVIpP5PiNq8Yz7rvdHRVjuWNvSTTBK0pyn/CLm2iqmYwMVfDtwpUikLYiJZFrHgql/
HPRjjtj2pF2SysCHrFOHQXBiXVJNom1UHSpfJWSnabOscb/3YZlOOF/V6TxxLBRluR/MQRwbO8jt
LdspxoYaWOtaiY3oesCQ8ozNguO8PdbOlyRpCG0ncqZ4wnBPbIEdFc6uK4fwLi+M6XohhsEFjEhx
wZCe/tACiFDmxCHGBe44uldk40DP301dAhoW6bP5wrhidVWQW6ePLZOHwLR9zilyLdTy2a4XQgSM
btqM5tCRMylldK3LQb5P/US8DYXsvne68Ez0CdEl+MBNcsqbKdvOBE3tCJDV/GZuZUGXeFmO6Mnl
A4brYQu0qj+UaNScgdnbvhaZ8WKPartPjNr8Yml25bcOBtdxLLstIY3pdmaA6xnSEg+vQYynJMUg
i29JLGD/5OwHG280y5D7TK5bVm0N0V+NMn0VDAR5EYRxbbN6GXygDljGGW0+b5twr822RS6FQGsW
QeBJ5upS/c710ZGVPGqJpbzXC/YX19LUaRvrfbi2la5aF7lAVO44vb92WVXu51bLfdss8y802ANy
n5YWsvMScf8lw7tBLB1ahrwVYzwsRK3Fk47BVGAqnEzB9BADf2NaTyTba2RgOlGQPzkSNjDVx349
M4aQdVsrqKqsrrh1ehX7mmlQOLmMcyQgt+gGDJdK187s50NIIHUZfrWNJPK0Xs3Oorb/H3dnshw5
liXZH2qEYHiYtgAMNhvNOJMbCEknMc8zvr4OPKI7IkuqSiSX1ZvIFPFwCXcaDO/dq6pHtVeLy9ih
xX7pWMCvsRxIycYa5zsRlr8GW9/1pKM8eU7h6YygPByZJLQrt2Z9CHObaYm4shOZFZeJQHjkv6HT
azqoDanlXyus+V2zZowD2dRs2mZ+Zqeqelo843icQAx2GWhHZ+QM55nvU+1SQGn7QbFfOA6j7qeb
KFEhu164cgcdXe3y4t2W6eodJmIdIGyTyhdiMC4rPOtiq4v1FGkBP7CkTFg/ROGcfQEk1nEC6eg6
NGkV1sNgmNFeFUnC4TInZMEsgKSjkvLJsO/3JuI2kPal9f6ft08oDwZTYFy/DoqRHNtJNo905KDE
2DOaBAFc4F22BrTK6YnJgM62ZHj8JHHsLWNw51YZ8QE5U+fLqAXqT9PJ1M6E/XIvSaH5jORZtm4T
LP3slFYm9lYolzD7eVxX7k+SHcWQyb9EugzdtmlBz7iVDtu9iLKCznnCuNtQWlJsFSU3hqDPD6o9
TNcc48+mHjVhepItiWuKRHxU82XeIdlZizu3dZVTGDwOl74w1aMUUgMyRGCfwAqrPNi2Pkq3OJuT
C6Hr4AA1f3mADB9eySibB+Keqs59Qw1q9CFVeVrVEacCgO3X5RwCz+8ScRVcsJF3/l9Ek6iU5hJD
sQ4lOI6HtioLAme6VN9FanU1GyEe/wxtklTBGME2SP38O7lpLHm+xdBk+Ggan1aoL8eVybQd0F1O
v8Oc9PFO16qDvGPnjQwetfuRJMWAM9eK+bgAGnXViLYGWS2zTSFX0RUAp7EehslwX+Qz2RxdJarz
d/bT6nE/O6NhdZcl0MQOzlZ07mfC3UZsJ7dsLKuXRp2Ze0YtXSWA0polZr9ZPvCjDLZaOejgr4EE
AVlMz/x5ie0EoQyEs5ldUWnKXQcQeTuYyFUMlUYDZcae3KTTjcdJUVKvk3UksFCN3+CUih+eC4vR
O7E57uPawEU3x+ODrsiQ4UjgKf5oFTGoykFtQ6DVRbXH+tf6Yy+t7HhoCCEzgi+Wub7ESCbvuiJp
p7iM2OKZpOy8LNY/gaeJh5xt8OdfOdVOipUycmaDqsanbLbVs7WggpA7XJKmdQLSvJAy08xSQe7k
4zNjGEmjJFq677/SrMHC1eJz0fq2fTdVFqAsYawCHJjOVrYLwvQlI89DlX2Ym4U/1aL5FfNCeRvR
pM7wJmbvd/a1EXYP48RmtCFyMdqbMRBJ6AFiiBR/SAztLSlssMnB0PTXqtBzr1WV9pZL5eKlBIBi
yBoqPp6hGhMsUpI+OYvVRY+2pJlnmgOLVz0cw89Kg1TJJmJRnLqsyQFPkub1aS6ILrNN5cGSywMs
WxOqJYT6TSuGVt5gDzbKW4efgpXvsCx7SwCD/Stma4O2OqJOk/lhnE25wefNGrix6+rBTmzpoExF
faayHSBI12TWdWiJ4Qrotju7ILw2tFWDytoOfimX8+53KNfiCrGZYcbv2nCVxks2lL2hAT+w5Omu
n8Z6Y82T4eWG2HX2hOG76t2+LTIXsqxxoMmu8dplwRJMST16D/R/3uiVnDQPdZJL5zqbMWNR9wDs
kS+kASxRSw9IpNoxEGVREaBcg77F+qrMYYveaXPUfsW4a49MkrRU/yP7G+eJudwk3Oy6M02CHS2g
yzndG/0o3c9onAhAA+e8k6RKd4jyIX8Hf7w8w4hnAaJOyVdQjjmVBEYgAY2P40NgcEwCcAjvMOcF
W8kY+8xnaVIRs+3KKfb0RK1/JSEPspdD1OZi0FlQ8X6ni0XOfbUGIe3+jhibzL9P6mS0SJx/54z7
jvPAN0xpCN1FVZIDs4n0zPiVfBsADBfPIiNA0cU/sseck8WDVM/TU1kky4khN/7QwXpyFRktAch4
jSPDn4GiSXAruCvJZBKUyCeKPTINw9QQ3YPawfgMIhSSjor9A2U6bE6yCJdv0FmBS1QbZkdOOySx
7k4lKhKCaObsmguC/gnlD7NWDTsZWIv3X+abw6Ev9moU4hQAoTFsINGHlyZcJhidWfPE3y29tbj1
Tx2ASmWjsA2+M/MpAchd8JWwRzmIXLYhybYWibYNaw1osia1fhPmVGkoU3Av6Xm5V8AXgcoaLMal
pqOdmIVsSNHQUKknidYIvsllbX2QJSG+1csi+/jvMtQVV9B+S8J1JQ6DxHFEqrRX7fetcsytaK8k
XGXNWm5BvrHakL3SzuYJCoVpXpVpsU/FoAQ7oYJnGeeuvC9VU7rPxqqRwD3LxXtiR/rl7/g1JpPs
VQxm4olAbTx5MaQDFwTzSB6Q3Q49G2RWxyFaywCSe8nUm5d4LGmdtMAqU9KnWHts8fmuI1z9YIcr
9g1ax+Z3YhvnnM5AmFWeuoBx7jS789iCZb4+T6MTcINKnADy06FLlfAI9nzwbEnl1ZjAvEebyXY9
sNKj1JFZAndAul6KW2kjwb+4yFIgzsPIroAJ0wR03ZsVx+xQXokwf1bppFzCZvnVIFjpDjDf5i76
nQXHnb66PcLF9OeVWqSq0fxiLKJ5KxZJ+flHPByYxcjQb3VAhQgA+9yluVH/lRavpGE9JlhtTezV
sHQ5vH6VL8D7K2op07SjXKUA5hMi3SSdmWkbcmNbQHTyC/1GylYlI7hRi+AtK3c5lRleOzYV0f+Z
zyAN2VPJuC7Ocp+X96Eog2uiKQlDZV/IhyXtcISwJh5Zvgz99Xc2HdNXtlUEr2sULWgDnpYKldVq
K2+zMMqveRGOW7muq89hCFq/BmDtNvkQ+8jO1WHEDOyRbsv8uomY1QBAAG3o65ELM0u6Y2oY0rWP
AtycU7i0vgQS85leHrwgYiZBlMJuIKvfzV4IZO2mKaF6FLYy0fgQtn4rt/3esEPjs7PTMQYMti5n
EmgaK3Kr0JBnkhh+RzsTq+3mLUvgnJeRggdikKM7EE/ZllYGNsNZkzL7mLr1IdGrhe23F29r6P8m
s5rzREPAzoGyYN7gjogfMDX2i2nb8Xc1yhJhs3o2dibvza2o7Ww7U2m0jhJi11pT4gulU0+DnUiP
eh5aW2nAMuQUJc2JC9TRG8237YtewMIdU3VxMmEYm/+zlDK4TfKYG7u343dbK9QLtz4ZFuFCTGcy
jPff4vL/r8ZOLPbo0jYS+X/v7DzHS9l85P/JZP/Xb/vT2mlrf2AL0o3VD796NJHU//TY2+of+BzZ
hmBWslZd/1+cnRCwVkOirMm6wjPxt7NT+cPm41nNoKxshInV6N/w2DNarraRfzgdsBaQLNQoNNPF
GgL4zzEMjS4C0pcBHuFUe64M+VmNe8hpy7gfBcYlfFksoxS+5Pl9Z4uW9p/4EJNZdtoAfnSS5/Bx
yed1mOKn4QiaWnfykXasZnofYXph04peFmiZKGbmLrd9lqYzBAjWSKkx39UTtja1o8hCgKYPGXcl
OZcPvDYZ+NpY9YOIxRX0RC7bY4htv5jkfdh/JQFeIl1aNX+0VdCq/jgATVRYBur8ofUIwj370jCO
39kaxducrPGoGWfo5Tc1Ffu0i/B6a/KXEbMEb+K3aljZRuaIaNk2mGqYhiei2bTBsaDNwR7zUoPL
J+HC3EbjxDs7hR6avDPGvlIX0zlZaw7kcxPYgfJMbUneIF6qYtNLxZdYso4RNBh3i2l91vp0Su0+
dUlQL0cb5TuQB1BQ6lh4+qjdGVnwbSrRHu7ENZ8f2QzqnhoQMY/0p6SDphKpneJy4YEIkUKmXKd9
NfUAVj8NqfZLkfnTxFjoyay+dwk31ZbFgWPeaW1db4wGY1lOlYM9I1SNVsPxK9dPfUY3pmQ+Y5GN
PKu2fyldA3aF8gMSV4wo83Rpi3k3cM2EWiAdcTa+jXH1YiMgJkJh1cfUAu7zrJn5cTSN+8hqTmHb
3lAS7/Wk840PuV2IYFfadp7KYw25i6FpiLejoZ76ElmaYPYRbNSNzNqwHZqHaM4ho/fdCxvUgyay
7xpCzybiuBqWJifCXeM+5FQuIR4TnU9deW5eiZMcsUOyPgceqfdkLozqhs78Cze76cJ0Y/APlJeB
ipRosTb2DGSUBYvlyOzNJqmTbwP2EZq8/a6bdA9vSut2NJB4lCmweY+HrzqZ7iz4x36cz37GTOos
rM/B/ooSzQfgKknseLdE9ommEKpEtACxIU8ZGEkl6uI+4JLcBIG01RL26/xvQJD7mPC1iZt+bbHo
D5bZXpSGy+fKY3KBV4VOJT1pEfonlaA/hcbiNNYx7o+xX0zTpYDpuwnLhxy/KsPHLSMTLM1H0+5e
AScE4BS6k2mOPEBtc9Ipm5yXkr76+hayCwRwhj1xUG9pyFOCHPCoGflzJB9VkE2VAPeo2Zi+7Tm5
ttarhAJKMnynKfFrHNPQ1uhq5/eijNy4Lm/KkLAAs9lfS2VFqn72RlF4xUhzAHu1j74oz4Ed0aum
Zk+oaJcy5dGoFWtxQOBsMXphH5lazF1LC+iLhl63sEMuq/w6S/p6sA5pMD3N+U88p79GATl+qTDU
Zt9RqT30+vAQ5iAyC3PxIUgSFuEI58o67FIMjIhRbH5rbmLIuM9N+KAJMe6lZkVCCOyh2WSNXjTd
EvAR7hDEBzW1D1yEQowVOoHkJaGCdGJISd9miKQwn2LQ2aNxHn/qjk17vDDJxdwcXFjpO3BxOyNo
m3tILvslk3cRbFovhue3WwRMiNhdjBjony4uUjOcaPTJ6GlqSkI79ePYMjrUdvJWhfpPtlaK4Txq
iuqTfVtHeAUODMki4UeKjb30SD/VRICneGJspgSq7MONHeXalgYsT59ijMTJvbHw5Rmk+ky8+ZSl
AZIWyqA6P2Ow+VjSN2a7u1mjNAXTX7vJZE9Xlvv1W7cu+Jy6I2M1q8pa3qmwA9Sid6ke7mHNy5s5
rhOQX3jPe+sgEpgyPVyV2ICjjQsYjNJUUz0GqIbqoQcRsnSLEU7LLD8MMuLM6FUWvkJhyoqr4qDx
YWxRt/IzLuGmy1RlyzZ9uYIMtULWUHWuNBtaEgjVI93CNYfBWJpgKvop2RhjQ16Jus2FSygdShiS
EVFDZBeXPWeFsNlspcqGSBkLtufRe7M0H5HSX+xBi7a9YgJPWqA8UQ9ajUZGQ117sQktu2jVuZvQ
fylUPqaZ3hWwTsm7BGy1y/l5wLdufbWsHpNK8s06uGXMr05n1/dGrACtiepXsYzU+5TfGPRTbPuU
48zJh0nu2k+L2MfUWzoFZVgbua8fbbIP+8qQ7so+velR9DP0SHNWdBhnAllQEIGh0OuDxgceAR5f
dUxrKkY61fR7oD/o0bBtcY87cqq9IHhgEQPVIW1miFHdwpjDI/6N7Yd2d8ZAB5IEHULUGKZNeLPI
lZKspTdroGHOyokeicg3Y2YepXjOmoxdV73yEK3xSxjo2/3aX8j7pFA7cmyLZHCGZZE/m7LgJqk0
dxXev0vG9ptC0HvC/e2Z8f+5siEsggJ8mC1zcKMatXSYkv7AjeiIcY9kmMxKbzLh/NiWbwD33OSY
S51odclVVndkbcMJDv5yU0lLfmAgW70AyniYDG7ciSRvK9zaGxQ7FeGrDN1Sq6azYu/FPKr3qPL0
h0YsQ9iRuc1wUCDl0WaUS/B5Qkz2Q/JYi/kLZ1ntqCBZeIyLi5GiM02NnvtRFMUbOFxp+KMMEh9O
kjot1nKagVb+SVb71SzA+65kjHm8GYOZfTEkQugFYrSACqPJJLOwJAa0O+lKdqrZEp1+/79kUWM0
ocgtFrFHUVxesE40vkw7ng9cdW8XkC6sIRvdHubRjkAdlgAWRAdkfKJrFXVZk+AJAIV4secwPjVN
kR0r3NIudawTjXPRMQDzcKgH1ddrei/huu1Jc0Ueh0f2jCQduJSj4h9CadODSz+38V6htYzdmaoe
w4UYXjfObzxry6VsNfOpk+bHuK2iraI2w07ilkAcEOh9/bqYfXw2OxnWIjbAQ3qdDHbIQFcbL8df
d9Lk6mZghNoVaysne2KZ68VUcX5arlGo/WOtV9W2L+2FoTCLHqhK9FtRklfsrPC+wYJz09T9ipY9
/v6HDtBgN+SG5SSdWTmZXmoeJBw8G/OxVhrzyFspatpbAxSKnxoVofXLOACMnh36j56NklXaMpIP
7av2kd89YTQ7j4nmUTtbH0a1ORTNInZ0HFMyi47pDvp40eeKErsl5mbTEs0Oxkct1/Qt5ZffutDj
bUi5A6dZSx2ZpGqgw61tO9o/Q8dfEuWO4pe68Uu+K76oow95+e77QN9WQnof0gQpUMtbLx4nkyVf
IfaGpLp0NLxGOAr2GhvmyDAeYyWBOi/BcwO6P5oFvr2GMCIiAqeh0QJekw/IQZ9tDOy10dJxm9Rz
f+otsz9JUA5PIGxRuX6MHtI2GytZofdw0Iz3OpB8benJrpYoTkr8Q7lO6iKmO6oc4SOqKZ5TFWyD
xCkRM6+YTTA9VQYWHrl28SBuO9W+1Uj5dT4arh3bHAtd/FzLtBgbk1ghrFwgqsQNBTfwib2oMhDD
ahextaKyd9ElORUqWDiwsAtI0zzNPwwt3PaFzOC77ICP3oIUjZJsbjlHW9mYapag41NVTs9aq54D
2Nw7HV8nACo/V5ToFGnpTrWyaIufAOD9glgMg81RmYFWSdo6jeNFq4LhmKfybsCXl/bKYxvT7czN
Ec0TNkwcW77Qxa9GWXwo2jscyBvCfbY7tkw9FGY7ppmfWP4IM6FtVdmPI4BttUofBpXWZh1wI/8x
uLlvQVvSkjlwQHbQWqb2HYGTdQnNPr3mCuCFngzvNAvmYw6LCARnSotvvCVD9F5X5hnlz1eK7F3o
61QwNY9lIdkOu5Dd0mpfFAwNrJmkpxqXgUGtpWgowVJSAD5J/9go3LO6CoHCzLWXIqBIu0CmrWzV
TUwcivjKxlJ6qGX6kM3cxJ8a0wLRVLB1tCvtXOBPg+zesorXppv2MXeRQsi7rs2X7aLHp4Ewn0v4
aK17QoNdy0frBNCMPTzObftipOqXEUzfWLYBcts6y1GsXoWoNJdyJi/NZ3vfIwemeZuf5iryWJ0f
pHJcnKprNS+JUxxF/bBbRuMpZpL3siqwUV0JVE+hDj01wiBRj4sr1QEWlfyryMttKFsIrz2AHtbY
NTsrxxgpm5NiqvyGdlc3y3UJFRLkxuMgMpR26W1SYoiEAHmoBc33MjTDquSBVYTJXUZDrVjSX0sq
CaCf45Eb+mPKm9NrlkJxaAS7JEgwtOC9luET5PGknZ9Kdc7RZM0rsKTrqNiupetfkVJ+C8FnmKbq
Fh+iSzXpa9KK5mCHYejBn4w3SVWeJctU8euaO9LWdCPwQwMJLKmZ1zYqS0iOfb1MM4cHm1e4pp7s
rH3DydRw7SLB3A/dOuKiVdQqZY9hnX1aU1A6svgUqnQa9OSgROs6PS7cVgp9hZfBUFI1o94Gkeyt
HrhhViRfNLMwFGjL65BecRzxg7Co/ZhoS8CCIp1C1Ae+h1yQlebLrLDQDkO4MVukvcniYly+6tyB
hqU9KWyN3aQcr7NqlmchB3sbaZ/GWkVsFx6MMjBCz1C4cpjZ/KhE3KP0Capid17ytc0BL1TV6/wk
mf+zZODLklonkcbmGVrhQ5KRXBMCtKoslztejO1RNTOUccNlmdodmdr2S8GPFwcyWDar8EmT3KHs
HEnCy45l1HtpWi+xtE3QsLxAQQ7ulDRWQdo6Bs0Q+H3pFYr64FOzKeYJVSzE/UxEDazhXlFfh2ze
UYQU72mU+sB/y3sSNwlIR26nva/MRbg1ay6VunlkzjKcnuqDPJr9aHzOJ73wsaN3fpSbVAMPb2k7
XQyrxqPdf6sNBUfNjFu1WteomnahaHYzIoRuLY2BqciSLTho7niNwtsKx+0CZpeTTaLxhfdQG/ts
YS5YQhE90tlNx6Jjhsl8iQ47SgWLX4CNngZraxAg93BzjJ4RDZV3ptqbXizlWIVm69Vq8GlQ5soc
SIKgwmyKjuBAx5o2nBzfFgES2y7DzVKAVjME9paQZhCHtja+E+HrFMlvy7Aiv+Tmg4cjWha6Xrk9
u7KVy0xsk0eXFVeZ/Ls07TMGU9sfbU9KhwPmjVM+I+Ip7JU9SiZTV1vkXYXEvyshSWMBvyP//ovl
DJtyKisdqJGvEb6JHC9zO4GVtVoGSaN+79mPuZY9+rYJQiDMo+dooPkHzDNW9EjbJx2TYUA6z0GJ
6IkgTQ7Y7rfQmu8WIz3bYWVt6vQHnNZxKmhus7TWdvNaih06Gd5BjsOLYwbwVFW9kSmSWUx03Mal
aKsNwedQ9/kmFSnsAm1XyVnq/Ptr18eSN13+ryCT32vDvykn5/irITP20/2P/9b/JkSKplv/4/J2
99HMH8XHvyxv//w9f4XyzT90AChCJ2mhGwask/+7ujWJ6xuaIcuIxOSkfv/KX3gUTf6DQh6VQBE2
2t9r3b9Xt+YfhkaG3lZUhH52wv/W5hbR+V83t4LkJHl1uq/hl+In0tZQ6j/SyqmiItikUbGNZfWp
mnBDjv1Otrrxkctcu82CrNqOjLjv6moHRoHJlyL3czn9LAW9JCZz/dq0GOivKjePp0k9LXS2t2nG
4W+178yc0olD27HUpDvN6UTup2QKU18Du1e2w6wKt4FLj+stfJSxo29g2jH422V3Veaxv7RcGpYy
PRdTq28b3kIeoEnel/BCjcoc9nitSxICY+JbWCJd8gNMqjJ9ZEzuOCQyoMoGDk1gL1PhtbaZb8bJ
AlAnaZe2/5bsCSScXnCd6DvVMSODFl1go44xzbPPaayyG8NY1TCdeuDk2w8ZAmgtyuUssZbp6a4+
VCVLogHM71bDtoKBhNSZpL10oD0dnBPX0VSKu1CuSgjDmknNsz0dsMs9tzLt13Xv5Q10RPUx65PM
s/C+jibVAzUGUKAB/VkPReEUjXENdC+u6zsSEqzSJ3GnGlj3aLnvu4+hAZPbRobqml15SEui1Uvd
+naRMsub/Y+YA6yswP+QslJPjm3NrYqzHhuZgwT+kqeR4UmSgGu9YFmhHlDTl608VBZKz2Yc7Feb
QY8dGp2hRkHjkV35dsUIQEzqVQFSk2RsX8dBQeLL8Vkb1BmFFW6gQOXnnr4Y9EpttG406IhLuM4L
zRf44lZI5lVvDDerzclvoC5PUvw+DwqxBWxtlX2n6NRRiqb/hrTMXtQohnVsc5KJaFirsD8fQukr
l9S90LPTNMuz3+lsAlPKMEOaKmNux0H72WjKS9mk2V4SisSOh180hWfKYLPauMVFJ9uha1QVFvJi
OwK04cOPT+qC1atPpFva9PpW7fMdRSCuAeg0MmMXMxWrUTWGrErLh91Yj51I3xBc2BtGzTEWyS+6
kZO7pG9+iZ+mORdRNTt6irEzN9l2AeSsQjL1WkcqL1DZTrZLT7rfPihWd5eY9Qc9dbc4tvfZkizU
24xuoBDsWRLBoWbWGxvSpiNZZBH45EZ+/MDQSX85eo3y2UpD5TDMHMqKAZXmgIukNTPM2n47YyGg
13j2B1kgqve3rGpoNVskb6pRNQTqiBVQLdJllLdJxNYEIcPKUg9YjxWEi2CGair8xk7WHl/5cQoH
1PHlaYz1qxJyP6QJ4s7COeXavbUvJr5OQ/ZOfjo9wJfAUY7hDtZ5gpzbWUTMjJtdNsy/1k8WxGcS
1/jrqBXKeJf4lHvkrlHD/DVlrOl1flKUTuMvVv2IFbUk8gi/edQ+QaZiVwyGad1xUKzA/SSV+5H+
RVZ8RWcGvtnnhZc0/aOmS80G1qnN6AXnaV6JT83KflJlnHrZk6XI1XmUzWQ79B8sHstrMNbHeQXU
YAVrzui8vgS7BvZztl9WnE20gm10CDd1XKtnY4Xe9Cv+ZoCDI3jqr43V37crIqdZYTnFDDYHLOY5
kLpiFw4FSB0qOPoVskOMuD0OK3in1ptiIxqJBl60AZbE3WO6gnqC8Y0+zeClhuAzK/VDmmcvkOo7
8pwSkJ8Fqw/280MxhslLNdAnm8KbtG1DPo8sJM+Trn6H5ZUWWhKglAFsrIoKLrl8boPoqqoVRk/U
Bb4fbGTVDhAR1ZXVdljhRIGSswwT/WXImfZz/iona6kMCKoTK2CrIQlg4XGdOl3zNWbvrd5DVtC5
Vx4MO+A7XlqoLflwpEUMdYvD7456hWPTzA92FvbHtrjizjJ97p7RsV8BTNmKYrJgMlkrnClaMU10
yJNzSclCVddQrynGHjEWhCvcCYcbrUycH8RIuDyvCCg1yoZDSWUnO4mKbZP+qYrsMe6jV3px5C30
ZtONCvWhvvRgYjBDSTQD6uJ17NP7IBSoVpRjOZ3QnFC2X7tE+SLndWyqEYJcZFG6aPTCMcgqUiJC
72qEZ4Gc3mfHWYAjDsFmWR5w0fAfhiCsmAmGrICuvynl/R9cSpvymJGrGxUojQthYW25tn4S4x3f
Y8K+ifo0YsZ+qVGRBygG01kTURQiVxuOwsUZJvEMFhiu2azxcqzIgZgNQs9Y/TRJz14IGFTFjBnR
Exfnb3ltQ+QIZych4qYWDYU5CimEYu5vvJpAScy4jxT9Ryey5NHn8jrNClV0XbNvJv2JSWy11VYP
nHilhzHEnSk9D9/iJsRDWxl+VoFIb2XZne3XwliNlUnntloWMPEjeZToeqL6sOTyBb31o6oMVFiC
l/Al0CVOGOKuRU8GdBm2ZYmYWo+0Us11/dAqxzHKT+bwKmJxCdgYtUOGTlWr6cZce1/7zvwRVI+R
qkKW+1OPKpGR05BHpVjuMxXpTAoZHHiDzfylh3e+x7W3SNSuyMxyQI9x705jB4VrcppkeJYz6yvX
i1uu98JddJbVmUFGY9V4BjgHLiIIq+7M5lPmYQ8rNfAytXnpJF8xpo8a3YVCg4bJqMUFPlTDXU2L
oc+7k+ShVLzyRlN9S8EFlHaN29AtsVVrdn8LdbkIfBSODzLOGaGllYc/DzCMkn+S8raKgnodcz4m
cXHDkzIyW3TbOPoOmokQFv1BccLJ341Svm1EeSeNtEFiQGZqbsm/49U/SbLpxRY4eOzow0alOdSN
NYtFrnSJ0Ho8JH8A2KItvQH/skM1+iUcpENq6DB1lMzphnF0xgGlk1lopw1T7q51VCCV+VrjQQla
/ZQFi5fxpe/C7NTFBeDm2b6Jqvqkr6/3pGzUPQUCd2FFt9nWA5/lON4gjdO3ZNSTTnQmaLCwlmmT
N6y4uKAdW6PQ7ghyXzXWw75ZBuzhs3Yf6d+ClTkuYywGdlZmfpG0jzTIpHtu1RDhrAHQnJUcFi08
R2mPS40c/aZKtfZMHuvGop8ddS4pVN1oOjrDvkwH8yGaHswQJ4K9Fqbag/QA3xkpNGt+SVM04+Cz
7tEwYRJKPGWUV2hp8JPYywAOeaPb0XczLotf5fqeje1dIFLz2Uw+pH5KqSGga7gMnbk3xUabqWZe
SLPMkXkygmp4wI057ajeUgDySPsEI9AbtIzdlLKvVDV92gUYDo2chD4r+ztlvTVMWgo9mKS7lwQI
g1GD6mJ7YHUOAkeno43WE1FrFlGVvMv4qHBCZPfJDDIlu7FZUVwzwP/9+x8Zl2sCSuGuwaY0jnxh
876ICUbPHuWklTcX9Mut++LNgFKa8diUFioFWK32zGZswya4d0vCC940FH4E2/bY1iPUj7Taa5RW
7oByn6w1/yQwRXoD3taz2gsfveiZK3K0D4ts1y1+oavlc4kWsLB2P+mR/iPbtLt2U3zJ0jnZ0Uqk
ergYQR3a/aHXRATGD62efrfqEWCeoddnuz0F1WQ9RvO8C2d99uKU+K1sZG/xmMHyDzn/s0jqvCoR
8bYzKAennyC4dnLqYbPKtpRz4iMkI7abuG0e2cZHh5ml/R6rYeBPWXCIWrW6xeImN7+aQCqP09Bk
p2H9R8K+xVTwYcdRRvI1VA6tWb3mmtVsRmoLjr2iRZtejPIGof8NTlj81sYsn2t2gyysC08mircn
MWvxNU2Wm8lwg3IcLfuQ55V6LarhlfSqFkwiZYbVSgMggM7TxXgt5HlT8zp3sTXnuwiSAxJv7iX5
1F1GK1f9VOV73WOw3lJgL3MZjdIT9W8otqwnfHaV2j0lyS+0L74SpZwfKaFPHnt8qzoVtEOIIpQs
dH8MPe5LpWI+C5XqEqrZjSRBcqxzdPxWkj8BgIyE0kgfy50snUvTlHkjWLupxyZNQ/Ya9Iib46LW
sWP0w0R7yPTYRMVO4MJ/pDMyviyFxHOeqF5ktZgvV52JAzfy8pFtaN+H5maxpPdlbVjSA/WqJ/3i
43DkHR0pO0zaOaE5wmmNshZ+JMTxpUL/lRkl1ZYs2fNyrM6sa3MPRjUzIV3oxIXba8SyjrbxysAj
EppgKMrOFaOlveP5v1elPVfN9A7EIWdlJakblv4VCWPuTAYfMsUOarRl/brRzDLE/MGVNNV/P37V
rkzjZReM/0HdeSxZjmRJ9lf6B1ACmMFAto/z55zEBhIRngEOGDj5+j7IrC7JrJqektrN5MIlIoP5
Y8A1vapHg+xlO2to47pRFQLozO/w6zdOIv5u5i127MDzPM0ju2oho/Vimn+xR0vQ5W4x3JhmsmP7
4QOqjPw9OaNvY8MKk4yKd41z09u4xfSe9aZ/g5d9sLxC7Vw2VUbo3HHvL2fMOymcU6bxyfpwQ65s
TjBsuOnKnXz55C9fYhbHFJN8Ca1gP2DkJQRFNj/0Il5cSlocCPOX0DonWRq9WVQ6bWiXU0dMwvl7
r0LytP7ZpGLy7AMvoMCyDQ9jtliayIDg1/ayndvMzmMYYsBsnH3WC++RvRT2selBZotdfGRvMybu
xOxMmjSwwksVl99N3XlXyARXLD/yuYWXto5D6ex73hv7orLkkawO5ujUeOYyZX5vXS6DknOSq2Sw
nQXOsjCzk4Nqgm81XVSALPz2Juyyv1OdCI8AHYMaNvOzco0Ppln3q0kgcyyqGmwsZ68HLShp5mZA
YsvaxD4nal3N9bYLk4LNQCZoKtTxPrNBoZqFWZ0HTLLbPtbim885T4/K/QHNZDmmQ8LwSrgflWEY
j2VnYN0c94GVOS+5M49PlfdaWCcsleOt9IrpVsakcSUD6m0YHnFW598Sg9Vx3ZRrXgD/XWTDYxhR
S6mm4uTzPH1ETrgl3ImvO8oGJksGDB/vxM6nxera69bd5SMibEkz99WiFnzdWEF54D5h3iLmTEdW
jylh2KMeu7dxarydb5cutwuTzvs0pBK+rN8ibdifofxp0id34pZN/ECXVKPRSf6EsnMuzAbgh8Yr
YLGnhY8C52XoIWvwiYoegB71e3wP7t4kjrNpuQq9uOy5cNZ45keygHE0fYViaSKiufaLImKGPyO5
ldTXb6Qv+q3h4J5JKPF7C42WSij0/u3I+ne5LVBpwbe0ykR8YXPs8jrHKzqzKIzLnZInDF/7yASA
3lXKg9T5exfW9W0ioPK0hNbL8VHRw/hLLhvo34hz2x92U4C2pnOAe3OJmJG2zb01st1ct9Ols60K
s29j3TUa+cYQYXUHq0uH25xkO8gin0JFcGpo08G81e/NRu1GLmMXeBUsgIfyYOQ0kHYQVVeFl35S
nmrtJVTVfQIqZC1FT3y4ajHfQgq6Z4GbnWka+FWFe6a+4U0uOS5DOQYnfP8wZSreosdbByb5YY+p
hGeEJDu907nbppcll7VGz1gm82dkg+hpZigUDrnI2irjbZ0acs9FGKhgHXDRzuKLGTXpHopcsqur
HHJNXvHKycQniDo4R7n0u4/C1puuK2FATAUWAT+80RF/bJlkLplIKcZsuB56I8qCZ5NoL8Zo1cRV
emhiuoYlnj+Nah5Djdpj7TrgkY/vgVcxR3vupRU2mUDSfRtdUWPsgCeivcuQ97Q/8Hyphzqqk4sp
nYdmWso5kNnWw+zLQ4c/CTtTnO8Z3/CDAVAgA1Po20A3SpvDg/Rm4W9V3QU7IjQEHYKCFSshh1c4
JK9OYA5QVWS7xRNaMuxN7cHL/ejQMtmvQkTMs5HIERlg04WGXDFtlaADU/YLHf5Cb5Lr0nXsfZfZ
LDrQEFjtWt4Ndy3bJK/FiFBphepjAie10/psAHPYJmR2ucEkS+TbuxRVTKZAZdzoM4HtiAUoOibo
kLh9xZJ0rELco0GQvFUFK+4279SxtunjnUpnPFS2sS+bZN56iYEa2Dg7OjLTLTWc8Ni9dUkd5lEo
u9yW3S0S4j1i83kKozOH5/bmVxUF8gtPYzZt66mpPsspoC+NOpytNm3j/PuXevnRXKp87w59vZef
1qDSa4Rig6BaDtyFeCNgeH+OgGF0IboJqXRMNKZLxhpBUYa4RrwZOJvWfDc4Gix8gJSxmrIxd6Ko
/J3RlMeOTD3yCRCqgMFjlblOe6jZo095np0mmft8kz2Y0MT8opGUtqvOfM+HbuKRxZqjpfdM/dRp
nEfr3sl8a9JkvvZIfrG7Tcv8EDjtg521A/ObXGOuAfTX2D8Jek0P2kAhLHxuvVNDWTMer/Im2d7L
59R2gcgAovYW+03Q+u+dVa9LLcJ93WJdqM1GXjBCne1JwXkxqOuK+Q9nmImlxKXP3J5a2mGo5W7N
r3boV7nW7XkyuTAl63yVIkMTqoSf4EvnByUF5O9RgzYQYI6Z3YsjXQDuOalIGhWM6+txCh2G4+ab
aKt+R+GSsy7a4Qcsl2JfFiONfIa1V9PEHpS8/mrAH34Uy7uGbm/zDRVNY5bDUx1GO7A67DxZuUNu
ri+gh9p3n536PNPu11TBwSt6d180kbeJrGoH/yVdKdIncJYmcytzNGw/NL/RIPNjTvojBbLySbHx
2LI5ZWJ3T2nXjrsq44pVNjVylE9msClqIqZFd/Gngk8pNuVL7j3r0doEHflrywnuObm4k03Ebh31
Bb43u6oRWCrGE8Kolz7ijFy3DaWG9pSeuO43HGqtGckENOiKmui6cjhllA9k4fsnFpRo7lV9H9yu
v2NKh7IG8whUCcdcN34g7zFuHNFEV7RTdanUYRhRbTs2zfsplt+o7EmvE+mc568wcPNDgWXnFEf0
pZvYFUPqw3eCRmGAaXt/zn6R087vU290exWOxd6g7fVFDlwzyqF8rpzhBTmveJ5K/+QKKtO0T7fe
6DMx50I/uzPJaBXRUKUTLGLU6SAP5KP4xgFiq4LoS9CCeSFf4j5qy7KxGQiL3DI/naLS37Y4/ng7
BcQLw6A6BODBP9v5wx8HeWWTDP7B2YPJjV5//yIGbyvOed7PNHym4dYatNxgKBm3uOTBxAIug8DU
tReddcM+RdrALEFN+2i57cnptbsWLcdx3iJb1gG4M90uveXBkepo4MZzlmKZY5D+/Uetr5h+yvDg
Js6NrqTm7Ey0VNEB5e7TuXvzJxBFFQuRZ+cHCN2WQ2bYPTCirzPFy0dU13unKNBinVoW13QiFOcO
HIHG4t13s+aCTtrscQ+/zIYxnSiCBTFSmXccAdXOiXcJHsbXfH6a2OzcoBMZKydJG1Ru8m08OurN
yMNuVDoHtBMGwPe7vGa/DxV+YDoeYu541nRuA40zRpb3qSgNLr8OXmnPfwj70VsHpjiUkFVOKEMW
kbjloOZ8S5ZWZMxOPyxdDHeq3DdBNpzd3k3vUafrW9vXJM6hbB1UuVSHjYWG2eG+SFILK2cSDqUf
JY1nwDR2oTT01h7n45jiXDYG3//AN/IN/198KabhAvnfvVBB8z7HRcQg4h6g4P9GgCh8tIfg2JVL
gHjowxN9p/IDp8iKjYXdgkqW6bNEIzz//mWIYMRA0La21CBTdsUsGEbpV5tP+WWWwx1XgfGegP4D
/FD/SmJK5Dr53BTuK3p2f4vKVh0QdKcjnX2wqKp5y1jKJcXGEwKsbdNXU3r3R1VTWD1lN6EXx2Fl
H9SIXNgaWDKq+GMpFz7HeZesPF1UZztifOJ4AdyDJ71ceEaQEM69XWO9rbgQmENiULqFrxTz4Lg2
B7lTQwKG3pDdFnFkSXlxudYjXKoaWB0fBN5BOm4euykL7nOXfFgqiS4qIcJhSG5ync7W1jTlh5GR
7RYUhIbtq+eOzPWdurKst8F3793UfAniyX4i/CFXMauCi1HjHSdGyHbSNJBxxrHJjnYLAXFU3H/6
mkqFkFhsS7k13VUcakK9w/1kr/p8nJ4cGAi7cPFconWtpaIYGW7Vm2HnxiFq7HTL3ijcgHGLt0ju
3TFK9Gms/fm7mC5ACrlJFhXhrMeZ+9cb1d0QkbLy7oyEB2XavOUWUwDW6nQXC4PGa3vOj0PXM4MM
1sXrjCezLJxjpS2CG4EZAWxemY5i9utgEJnL8sBvSE0aXnpyTMK0QQ+ir/I0qxaRTjsu3DcoNfIx
hrHg1qLDmjSGr+XA6OfFARINkbicFslrbYkHUFwZnrx0abVIgmNQVFt2Aru0Q6U2/PJbNIODK8ve
OqY+KrE2hw0/m9ZFME1b9L5qRY0f9RS+tzcGujbSCkqPaKn6KySgROC3GFYSdXAn765z23jvJ68n
nyHEjaS4fTS4kRJCzbJd39J7T+AvzUKcbnoj7Uo/QsownjlajGu0b3YB1dYVvKcjcAhcKpA3y5oe
X8EkuUkoVN9EraQ/TYL5QT3L2WYtk4pXEu1wI5UfsqT7GrS66NTsXzDrTuireLcIMUNEa6L2QCLg
XBYqvOEw4o5sY9IOjJ6A+NTxbwWDPjcZbBfYoOhFY8mVNZ/hD7EZ2qdRSy01fkTeswE3nSR5mwJv
goSlfv7nHpH/n6wdEL7+r9U3hzj//jP6nv3XQ/3967cm+ovH448//HePh/c36mos+P+WCWNXLG1r
f6/AUbg/OM1YOM5ty/UdfuV/PB7ybwI0MHXSeDj+p3IB44d0XQfzh2MpVwCe/k/sHeKfzR0mfwXf
kSktZfl8H/zrfzZ3BC5HQ1A2wZ49jWB5lIWscWCG5O0mR+26j6DwqQAF6gUOQVgSZxjdBgqVV0Lv
ILkVPHSoHg9e00GegisRXXDVA20oEtqZHRnZ+RaOLmSvdprTJ1gaQXSVUSPtI4Zh2zkmVZtdLXuh
ogBLooW+49r4RyL05587l/7rzxU//0zOtlgWKtv2hMXSXsDr/uuj5DAn6POUfNJBZ2OfTZyfddgj
azHPTb+RFU7v+M7TT8Xa67calgQ4JKSLR0qx288Ev4m3zWwVkUEhzc2uT9s/Wb3KYdX5JhVRCb4D
6s7biGR/FCZomjUIniOnK+8UK/jV7LMHZfwbiDLh6H925vzlYWH2+evDikST1Mi1Hp6EGU2SK7hg
vZpWPyuWOtjOK1oqXW9cpx7bHTwX7Eq8vjl5fmTsyrgZ6JpTxaXETLRxsbteCT5M+xFuKugsmX+z
k5nMG4A/OE2Vxc1s7vxmFensVTplh9YsKAGydDy92/M47cwurg6Rwzgz1LZ7Ynjyv1LwcED4It5g
FCN1O8jC9LPXjWDEslTwSlt78YGPBFpnzAwXZmRU6rICIBAOHxLiwnESJgWhiwsmFNkVMJh3Z2c4
bOGYlSCfUNncGvxZUqtxG3fN/KDGcT+LGW9hMkbWKpfOtA+wks7L+ozo4lySjmGrfivSoTkhn7zM
jYk+NjceCkNlWyuhqNsQThkwYsZMVqusrcFiB1Ez0b1M8mvvTezFHE4XH9wFxpP06LywMEDHVgV9
dh4+ODHxbuEUgB09ET8yvCMoICTOjGAmbO8Flnf37XyRVALI+VXc2JeZMshnx+ohFcrAQJSMl/BF
k6Q4icx0OJeJyK+OgQ5Uz+7LnBmnHMMwYJwGO+MqYPl/ogG8eMV1K7+qmnIFyxrxHc8ZDtA2cNw1
WzV6RBKj+mFwIl7Bn/TRzjvzow/JVlVOVh18TuHkoqbhkBJgv7ozrgjb6NUeN+JLWAgMiqA3sbBX
2t/JGkJVj70iMUnFECrPsQoQQa09/xtwn+Izd1Lj2An8Vz2U3HucQfpeA2eih4Fay1Ue19DqIvsr
z9J5wyewX0Tr39xYhK9RO2B4tUj6HVPGPRX04VW3Zn4Zytn/UtoOX8cectpKWzMjJ5epA0QsMDlD
OYLI8Sh/SHMRrKXMi8fCNCMiWyUIJ/hfnf4i/X9vagNBsGOAIhYgbjO96MvyY7EGyJpUD49SCgfy
geAtDMMme1WdM1NuC2+gEjCjzTzqXnM3yV4cCJj8c/7wBCuGu6pNyRWMhXAPaqz68OgOfutaf96V
syTq3018VvNoOwa8WnBd/VuUFCcwhFOzsSar/ahGwFlVlIQ3FZGX4wn34Bla5CjCyd4FWRdhViuH
Kx/+xZuGxQIT37pNeauWfuGus7K+zC4OTzoGi5+se3mgf4qfP/yR2/7zFfX/dEF1TeG5DuQxlzvX
X688s7YgpUiuPKZBsZc3f6Mk4t/Wo/7r5U2aFkU52A8pe4OR/9d/BBlg1oPXevuaNLDX2tE2BbbB
BpLd5+/1uLwf131nxsdOzbhvshCqXOQY/+axIhL8y3X2r9/IPz1agE44I9PQ3MuAZSqAqepiO7wm
vMtKZFgr+GxV2p39MsMzRz8IsJqACY+svn3MDG3Dwpb5Ik8Mdf/B769/ich1n4d6rMGNaxAPEHTS
Q51YQMfmadwaI8rV2AsoNRlCwugkxn1IwuCwtChgJbLLUzRG1cUFoIj/IMJ+3YV99BnHkRhXSW/D
eAiGlGiCUsleDlFz97wJ+Ub2zhfxvB5edVb8ELnsCJu1MS+jyXKpqPqDKNqR5WodHPtI2/eUy+LF
aDEiQQhDvBz7YQZz33pbOcMko5lNY9OrRPyUw4ZogcDaUBSBaLxEIGvhlWY58boszjfscKgIAR90
IDY2Hzk3duQs50nvmtDIn1uh6GAWTlevKlDXv8AFDJ9TAlw9HWCHQioS6q0bHfyc6aR/EZJHQo8r
+ciY37/A/7KIYxrxW1nFbByM0r3bsNfv6L79yZxzFn40pezMOp2eWOQ6a5cawjUwLMJ1uOP9x7jt
owc4GemtHwp0ySiz4n1k98VGy27ejDrUT0jY0caEdopAZqU/c3i6BD/M2l2z2pN3WfS4TwzT2I19
5Eg2Rb75xFGOH7IAIDAUNeO5wMZz4eYC0rLIpgdXTQ1JKSy+u8B2KjzbqFIwnefsoRuUdZrMKn4w
K00f1WiF04EOQ+fcNZZxnKcSBbNPxYdc3vMIoWg+SWbOW6Bbpd4s27qN19Xt09JgcqsEHTikHEEs
rKqQ3Wgf1s1dw3jGV2FBr+FO5DmsdZrc/ySVNvxSpMCgRGdmBrdE2ONpCPzyrjx2f/Nk2/BDGrjd
qrKeC8qih8MYBxyo/7hEpkx+RA842CwWEf71MI2Ng4tlMl6XAvTUmheieBRx331Gmud2O5mlujca
6tnGbbTdEqSoW2gvhsYO4ZOSPwComdx1QRf4j9RU5M2zsQcKLc2WjXZnO3B/CS0f8hYQadikZrSp
lzuapzN48v7MbntdqBiDaFvoGr5h0Jww7eEdJG3pnyjUK04Tu0OSRClhqFVZmsT7AtPA8NzAYxxp
L9lkPslG3+eTmPa+SStzVp7M0rUfVO7Cg8D9hqOxxCXUuIV1DSxpHSQaJXzsHOFcuqnmYhY1u66L
rV+V7bcPI3aXn3FiDPfZmMM3o0vaZ8F34XBly8YnLiQGYXAYgnfH8gcW/nEkb2w1ugPev/TKfDL9
7v+HFceoryA56OikA53f2q73Fx3ZrX/QnBXs56zCp+ha7kcKDWQXh4PGNxl63pb2eMKNhobUFyVO
/xICrp6W9TMhwiGfX+Zeyp1Liu45T0rnAVyAotSbgnVOyHPyXpooKfnkmfVad+x6iUVgXszL4uCL
RkHopDwl88ekuTq6YBDtB/9gUruxFb037ZiUcBmnAkLnEmaw77he00M81g5TghPi1AwJB71PLmwg
H+05AHIn5Ml1dHpOjYlotOfVD24GbHEN2j/fTlgiHuLQMD85VCTPpPGHE7tGim1nq6HrCVDJY9CZ
w2sWkG3HacK6R9Z5+6MtTfWRtyB2W+BIG88UDqqJVxwAdXVbUlvuWWgfTonhttlWTKjCgWXwhpIC
qSYvxXidpqI7Ya1EUo1ZZbaDxAQBVxmvgs1xu7EkOX+CKv0eP1e6U/BaPkpoFKeSKtFdm8rp3Uqx
Z62KGal2KDygbUyX26Y356WsC/Bc5ddAsCdsDKnPkoLp1zuPtcV1DL9Edu9aOzxGUxVshF6mZotQ
0kdQ+yAtWAr/HLghvAcNHOa0rci2VX67JVyCkcK2FLqmq6HHItkgG0WrhDQAK0Muo7QStTjaiKRD
hu1H7OGhCtS8C6p++OaR7n4xg1SdWt+L9kXSDkfNImIft0ZwLW1PnXA9jgfhhNbHxFD/Qo1zuZTI
JfVaWvqVULhXrWJH5tQv403DOZc/2SyKH8neFUw2uBjw7RRG+eQYvXhhtmnO9LFEIXu3zMZlFQ/A
QquCVxIQJkbm3HSK9yRP813A07uLTc4wcur9jJ4r5ZCxsvz+It1o/OgtgWnW1fVJ4PXgo4Dfe+yz
AGHLS86FNXAlqkCr2jjjohUeSbWnTSs99npmbcp9Zq9wEhw610GkDlKRgOayu+c8yHmqaqoNDukQ
jZfRmuqd4leuJubBhe/C5Bwb3vLMEGsS2Ie61Twpe99nHe+UqpfVIayD+C3MDFrHvLgpcnY5RKM4
dbMSwWTj3iyYBjujq73NLApWIEpU26LK5XaK5Lg3OyfZxGNmvrEAwwLSCbthTZGXF+Qh/YiozLYy
C2O1HqMistmqC46uXizIvzluSQdzm8NGSdKye46x6mxCugyeI92bmCqHuHU2dlt7xT436X3zK26G
pimqezlgirTTH0Ezb9DI7MOA+4KxuRMc/avSIEmRmKTzy6J8H71YP+atSHZzbgTGFkSs+26pkU0j
Rh0wfvNw7Uv4B3Al/KdaOf6mA8sAszGlT3HVqLo+YAFo7wPg8nMWFfpjrLgBTzqcz3Gm8bwbqVHv
vQj4/xonu/2JjTV5K8ZwgWk29hEvUnKKxya6wMMx1l6Eib0LsnxbGA2BwYSGhqJ7ybCNr1jiz9eY
0PETQ1nM6m62g3XBhWbDH+9ikuYqfrIzF7hmCBTyWwx1iBi/mV57sJ0cUvK5/23CBMcWkzugP8Or
n8ForirhqlMaxxjQ5s67tBLrVNmmw903EnPtOdNMxclS1j7ZEmxCF2fDU0XHwZnmgW6Nuaj+ZZIw
xF5bN+s0bLs9dTDRVVkpVJ7IBELnGHX6TGH9vMXYkXxU/URUPOwJX5bLR3jVmjF7cuGDTzAmfUpt
AHsyKeW9LTECr/1cZqQaqvi7oeac1twp01t/wFKwAmwtjpj3JeZCI3GIs2U0EqAaFGTvaxuzCwHg
5DwVcUOpy+z+bAuLkYNAz7Q2upiNmMBUgxXGXLtmw0YR3UhvhmFh+8WyuvmpbO8pjNVTxzd551pq
bjM1T6c5bP01iZYWZTnsX3TiFQ+OEeT4OIn/EL5zN15vzNt4VNG4FrHbr2JqighQD/klKnXDWMVy
hs6RBNWpopBHr4w5KIq15XjjW+uoIKFWw/SeDSeMTyXp+1e7JctJ3qE7mpPDaUs5jXwDKQtnEKzw
O7SinBkDrC7InHmjXJ0c2ON6h6qjI6fRQ+zvaPALN1mApJv7QfDcVnn+0Bo0jsXspw+gW8nDuxG5
daV2dt9mz9YCxbPrwbggLpZvIqrx+LFbrna0TyV/9Nn9R+y0/zWht/wt/wjy/T/ST+4g6f3p6Lo0
oP+lnPz8vS74f+lf43d//Kl/SLNKCYq4BCBUQciN093fpVn7b+TnHCDU4M8cQnicC/8uzVre32wE
U9P8XVN0+VP/EGgt62/osoipqI02P3C8/0Sg/ReNz1HUoAvFWO/zV8l/Fmgd7HTaZX+8VY0Clz7d
nSD9hWuPrQNOVPp8FriEdJ7lnH1UXI//SHX+79IpqcF/Ov06jkeSUGEwcVCjxe+//qf8XxgpOTvU
UWzbsmSP2FVrVY3ONbDJ3KSRxRq19ViMpd23CffP0fMGa1+7zhmSSPWqezyJRtLQPp+o70muIOua
otgETXYdI1tctSLf51ZpvoxFah+1WJmVDCn7qzGjuq5PIhd7WK6zgSj5a8wo9ukn7XuSOO7j8gOO
ODPjpMncYrr3SKHaTfa0C2vYFaw6IQ0/23qpJMvHk2sznsXsznI1AMfw4i/0to/JtuxbmbcNEhZY
DllFp5LyO1vV6hir6klIpJsQuoXDwenqSL2eZWFBQO8JES9frBYvQsVUS0P5LwmVt2/EV5kdalpQ
RvmjyQ5xZntbFX0HchNutFM6m86L223dJU+d4tRlsbmqJ3z+BTtEK4UVo0v15gh0VC6whCd9leKo
6qF+9MEORhh2GTRdgHV6PZrThSYFDKaWO7NtglBmynI3SFISMP6s1WxQ+05N58FqrBN6UmBFHNQz
4mxYaEJmD7AboblNXeSm0AXNuSBVcy+B8FFZKxfNAbvRrNZxJg5mAHcrXYjuib1xbk5Ljktli2sn
vs8YXlhAXpj9uW2WLgtYPbCCzxZmsvXAYLPy4/ot9HS9RevbEMcrbpEe90k2qrNLnol2Obx0mGfX
Un8jPXIzHaYmv52eOGGWB11Y3M9cdHedF9+HwdugfyL21dYDdXKQB1jHYWkMuen3/CZieJhY6vZa
x5I285IjTTQ0xzFc6BYDzzHCM36n3rjYMS4mDKnn0CqzU11b30US16sEVAh0B3LYnMyzteMwnFdv
UecdWpG9aent0qbf4w6omaH3HlacldF7v1A+cMMk1TZNg4XPnlpHt8702okZwixp3pzIvzJ5814r
bbhT4ns/TWfDMb9rYw2xjmSqOLZqeZaMkEVzTktfDOgj6Xmyw8x5L+sNILIW5weA1c6IHzLTXplj
ze1jO/iNibUC2l+WqfPIGnFn6UCuzfzuWTmNLCLbi6n7lhfN1rSJEWHJyaDSWxt6KPdej8CWBwtH
oXF/TnGarHDUv2GWhISV7H28XSudWuTIJr2ubO8rtI1dY9FSRSMGUi4tPTBYo82QUJDiejWCw1by
3dqG2OVe8ENJwpV5IbfUjoTnPH63KlVeFLJlku6z2X+pWpyAAaq9l7EUrrKN4PHg3F/lLOjXNVbK
qjtVLGY3Tm9/tU1xDrC+HH9PzYcoBUy/Ed27nnGQmUemqvGYOtS4GVP3a4yHVxFZCRI4sBPP2DZz
Bcs5t2hP4C2Iw4IvlcD64ta7vJ67ExRaJPuKxawv9a2HkxAFRzGyImvQj1DWFcXFY3Pw3xPHJ/IZ
2yfPjC+6hEgohGw4v4CDFeDn6RIG8CW9sjp0GUSx2KTjLM3bJw3nu469G6h1yjQynLhuRHi1G7th
J510RGkc34LB6k+Ryn52OdttIs7uzmK3zNbG7OkuAKqYpv1vqctI7C/mtLa3DEJKK2Fs01BNT5lr
/XS4iSEdluXFHPWaLLe8BaRHTVT+CQ/ZQ12PUMN8kJNJXOK/rtRG8TPbl8nVSQCZ9JRTS4qoXxxS
fPgbg5U5N/Ypr9Szo1vOT1y5PbuZrmN1q2vDf4qDvaYncB8kFhTqekj3EZmIVUEd8c6Khb3xQ+uQ
xC1dF1Nur1P3WxyRSSCwWd47B363a7jhMbcVGEIz3NZ2mz3OpYvxRc8dCeeKF5+B0e3q9IxiSraz
93YqNwAxzs6BzBYjeoqyWIuRBNv3rq3KAxjs+ppkjs8MboRXI/WbsxiMk+biuYv4qG18psfCK5JH
CsEy1KRcH3FvP/ssOK+jQf0HsYobHHEA6I4s+NgSv9QqhBKM1fjiVo2+qOVLwhUf8mb4KOrd0AT5
DVdXvEZ5WXZ0JAdhKpeqnN4xGI4by+3eAO4P64ET1AlvNL/CjGzFl94NglfBWwXxIGCcNNrnQffG
kxpqAI6pWpdVgzcOHD0rq8FdBxlkzRkj6kkEOniPibv2RDJ8VX4qImyA6/14Kwy8SKmy6xcymOQh
8m/N0BD3mgXhHm/eGuoIsDe9TXkGQMbQKO+W0V59cxuUxFSNulymaXhC57pwzrnrrQkd9j8LDHVG
2D/VZm69oxM+k0Em65fMRxP09iOn+tUMKubuue6uHKcB2SWhYeNFYIJZKQWgiXYx95Ln8QbBEJNj
KdqzGTYsM4WbNBzA8hSTrS7OkGdeo4HDae8Aoukau931ou3Pv38Jsk9ggWrjqb7dBR0YksCokPlG
5x3yivOiCWSUif3K9cZ6gbGXlGedNf6na7OxUcmEXyJMX6akvpqJ+xkRlfis6WpykOLWYJ1Y/MSi
vtrGb+zJifrH5c0DoXKaRHE02vnLSshujYVyDkkSP4YOxyMoV1sbSMcqd2h8wa5DQAfFyPa+9RnV
TbWOiIHJZwnU6kEtyNqkAdNoZfG7iw0aOh44yGl4irgdW56Yz900PhVEyM9jrHCxNwOgJ3eyzn0v
JywmttjmFLxeKRVdD73Z7Z2I44LZQiKVHdDBPMkuZXfF/InDp6ict9E3qjVxM4A8DdCzsOrioy3L
7+BjzwhI3YvvtrBmrYSgY18h5yxfJkDvPjaZM/zT4lpYvdxgUhq03ZzocH4M6jr4CJcPU5WHZxo+
vrxxqs60N6BC+sFBzlodwThV15TekGuTf6cOadrimBG7WGPss1p1ryAIkUpP8vMYiRw+rKOvczn9
LGgh2dYevx9gWkxnrh3zcIhrDYrMiOuEzAF05N1z6huoyBUSFdcP9N1MCdoWtr0xs3zaqlqOlNHE
3tHGB3AgJmNvo5o0aO91LlvfITv5vGLkRaJu38WKPBYM321k408y6phWMcNjJLbseZ172rtDzKb2
pNC/2fDdHwVvAQqc2M1mY2ztB2Iia9OQ41Ek4bwSunwUvdWeCTfKwzBP/03dmexIjmRZ9l9qzwSF
k5CL2ug8q9roFrYh3N3MOc/C8ev7iGcBXbVpoJa9MUQkkO4Wqhzk3Xfvub9ytqinnPfOqjVGb1MH
2XePuX3vm+9p1hdvxrXFtveaGvhre3/GlRaEPDozoqaTdF/meAGv5iw1Z9bSBxZV0YYJpPcwxfVt
SmP3tTeXfN3QIPdGneqPEmF+l45UCKSinU5Vlj1bRRRv+qFp9os7RPza46pzPHkx/fiNylV1TrIW
93Zgk+inMem5tUKX9DP/cR6Zc4KLCaf+LkOgAq9UCO9rdH/OLZDChSymYF/lSSe+cComXFsqTmm8
czalz9nX9gdrrYUwjqn5Bz3g7dG2w35r2msgE9EakBiSMozQVWeMNCxFLhZQ37qN5kdoLOMLSqMB
YSO6Y+C09sqWwXu6kMAYW+K7pTv+crm4IRBb1i9uvk2ceBUe9PFYRv/WAed9O4PzGopheO4SBHfy
7SifdblDlKA/qwccEtSZs6mygmboxg6ffIMQAFkFQrahGHbxkj6MCDiRCRzqXNLzdzKok67r7Fjl
xuugfPMwmaaAmqSlWtq2rmrsXsy8pZvEade5Y7loFWV0pob8Zlu8JvrB654JS+wzndE3KY/ZZMAl
V+7gobyrAukHFNHbYfxKGw5qrsyqM9vfLgOA7yzfGTudKK6Wl2AI38aGk0uWu4RtXXBecCiMW7Io
ojRU0J1Hq6NEa46Kc1b5WxnAMnMwi25Fi6zjkKriE4uyq8rMM2wldUwa2rIjxbfN1bstaOBYxzqa
EJqyOadxhOivQlqhReFue4/rTMQzNtts/Anim8soxa8PaOkc10Z48ywzvKUFz5EQRCdZL3mMePat
p9FhaiuJ4BNfT0/GMF9Yu7fvIsOrWKlT24jhOKr5WnWTix4aibfFZ1Qcx9jkiKuaZ13RS1vCucgl
GlzFODC4IW1EcSjoLRtAV7QxPCzYMFuffGbj9luaydPtsvxmGde+RL3NGFg7xDsKqqWGeDEwcIIf
sUbAg3HnvtZtbL1hJj/xvfTHsA9+268ti7t9anA5NJEDYVIDmTGr3ifrXDevVszBMzDr9sBKit0j
/o9HIUGBTpJQkBxGbyWTmOqtPoaDN/LKj1y33Ph+nDyFSNmOlf5kSdrDELXFPuiBRwLaN58op39g
n7XvM24m+M0c2IuoTy5d5JubwgViMaRGf+9MOz7Qo4Pc3thibRd073IMG19KNBOiutN4yowcdkA1
5vuBhq+ZAaKvsvBCXYC82kuJU77AUT+7Qtx4H5NqC82HdJR9UjXrz9xo2i2NuONRyhsIMDR0ispL
ug3BY+C44nY+QXiDQFEnH0XiHZKmxhfk9hGLXYTvEJlm0wgZHTwZnJpFVniTWyZINpssaxSkln45
tgvREDIkxZ7+uXyfSbi2PEfapyn5UXu+c+24zKZIWe8jHuO5kM1X48oXO0q3bbl012Gx2gucAIy7
RDbJwb+Dm2yPXQTrr+0BDONR7dacj+/ECsiJc7ajgtD7DorC+jaa13m2L5FlyHvIJfdip8tnPAcZ
GQYI7zrlZxXq06DV5ISBRegJFgNZjhfGUs434sDnEEccvVP8PyLy01ucZ9lmGuUTv5zOmI+cnMbn
vwRZyRQic+eZKXNlKemtlwH0Gn6E9JnWkmi3uPbM6YBV+iCao9NH1SlU4K/jJtj7nUUGe0mjQ53Y
ePLlBKTOjjhNkIzcW4T3SEdMydawwGwslKQn1FFus6SgE4iGQf2k/jl1kwnXOrwEMsrP5uim10E1
3yHi/YDk/9Tbi/vEfprAP9SLpFHjASMcxB8eJCky66U24leLMfGa5DOsag6OTimmNzbg+8qRaj/I
pN/TyxVuxrBPzgV/zG5c6q8SCulj1iAA8DwEcAZ731g0sLVyold92mcc8fbg8cV75GkoW2WoFVaS
EYRRVLwXJCczqzIftsEcxIPZP1gDw8JQRuWKAuL8o5jkqwJudBKtc8/HeTorluygkNnyWcEjASRz
8iy5UtbQcdc3clMb3H8kWotzQj+XxIi/qrXEk5qGOMWi7oC1KOToSdSHLIIkGxdfSln1T/72VUq8
7ndHsxZB4+jm5Tl3NwejPa4unIIsVAFIulevY7sVTf2TW8qPSbAYDPGT7RXtWftE+HRTgmFBASx/
UTavBXNIjKAxdn/jknQI6pSofcrj6ZRbMCJTDs0sz4DxlERf05jw4qz97o2zKhmHICxOPzKIq7gO
4mWjZu73JOg2WaK+Otv0dgmQichnsgWzfolMc5960S636vJ1ABiLG2nZFHHz6dMksZ4ikaxJd1BB
3w8PN0huwquQxZLmRy75Fzf6OQnqQvIc2meX4N5w8/AabUcepBEmlYYlcYJ5cCBWwZqa8NtiL6AL
Rxd2SDO8+YbDcdUNPFwNI9xypCGDnvGIStau+VO1cbePK+MuDA/XCht83pXMyhhiSHfK/GdvDiCK
YaLe4CXbBAP2o+2kOxtAH2tax92m/NHblnanVS3n9NLE3YsX5+2RoE14yyfwtIW1z7v6JY7Jq9fj
+DshjfsWiStrTXPDyn6645s5JkMKK7dlp+AOhmRMjcCy1u9laHtrMTIqFfV48wCtHEWXfvghSAIn
vjll+DVOlFRSIXZe+ED3yuvSbWdKKDG5N27DcOBsYXW8HP04Phjt9JsMQXlv1IOnbs1b5ahAO7sS
17thQsdiP0Ye0KZ9esjmn36oY3QAyaRovlQjFd8SONhA+rc4Kf1LNInvaNRcJSFeVZ4HvA45SGPE
oAc693eT6Fj7pPjnzDjIHkVn0YgwT3KN96c7NxMOv65FoK4GnGwD03Bc+6FWMtMP24suRgMgqOKC
xm9PaGVqp+CDXU20aczUOEEaD7cdNXynXMEDdmmk3+M6yTeVMYUbJ6YmT0qO1mViOHvkEd5lyXwT
dGffzd5215xF/afZhZeC6ZQycvIXJFbSLx/I3Mrpswd4dPWr4ZJiZ3SB4EpGsrWBjubZqQl763VY
5qOrsLIVpWvQKDRvbaeb1pVHirFsOiZuZz6Nlr9O/GyhHdcb6IHmFd7Xryw7xRoDBJs0L4XE8OaY
Q/kyEKDMaK6F/skhpeL0fbAmwo+gS1vL28+SvV3qx+51CG3q35cMAf0lIZyxLZLoNLjY/NzxT+eT
AYzG4MuvE/xLnJgD8BZkIZqdVTTfURxNl6Lrd75JQ0GCS8lRwwe6brXrxjY4dfNMiXBJw7CYQNGk
CZmArhnIXfgVT0ff5eHA1Hgli26nKKuRTDFSxPl+BFi1DRLcNvAUFL8JeQSHjm5Uq4F9KEHijRkM
5HwzwYq0ax8tZGI6IodgVWV1sY/Yna48Vngbag26LUA63LsxrXYWuAydzzwU6fJSCDc+86FF+7y0
+bNdr7j8/ZFCGuf6bo5KtOJoBRXOXiqcufM/4QzaDx2zrBpCJkk5nuIlO/sCrS62AgaesRo2Q5qZ
V8gsWV8CKifwgydrNh6dFXzA+iZFtgh1iZmhd0Pdk6A0/PgWz7XJB9D/SPv2NZ2XZ8wAy549KZVJ
IKF3clIbpzOsGydl6xYEMtmXoRxXf/831RYEVY2eV18UzcSDzW3XL/ndbOcf7EVqQlKdRvzYz6Nr
Ht3mqZ08+8zRQIGW834rvu9d6wzNMZ6rE0Ut+NItSzPRDZN52b6Aap+Pfi3iUyPH8twF7XjwPRFd
l6lHs/VUeBuUI7cRT5UnbBDOplGiOAIT+KCEb7xXs92cqqh8sZqBp6QIkzUE8vEFkXzeetHV6YVL
9Lur7vh31qiI5g07ws9gUe4O4ta0M51hZ4vQ5zvw8nuX9zAWMUlsO+mQk+SpZVAjcovCtuQuqT9j
/CYPa07ydQsEYJ9ZszBWZhG2G1sdzbBdLin14Ax3UD7UbPB0odYbekS+3LHrhTsWIXgrTnlftb9b
UBik7KKrWXbixQNNsWkrPznW2TJBPykomewBB6MjYMA0o2qT8Ap23Sj8HmX/06HJ9M3qieyZvTB2
4AI4xtsAhmrPkWTEZui6ZVU8plD8TqdufhDXbrXr5INwW3EcxOyvs8Z3nzLuWquc/Q0srTs08p+F
X96C0to3E3lSe0zeCLUyslXMZ3YICavCTVN0t1KB/WlnAn2x7h7gS2oFfZWLJ1exuzTbSZcH2Fgl
1iM4rh3VI9EKpKRtlZ85EPedl9otrZHcqklb51sjcldLX6QbYec/64GWdh8DBngzCrjmHqEJd302
lP65i3hU07/jnet2cF4z2/nIm1hekX7WgylsCCruFmYFYKUSCiU+B1wQ2kpLoAz4EwYdTizRdKuz
xmXW7JpTbo4WfUXE8lLMNFHHxR8tbIoKs2h2bRxXUJYCIF1DXuMCnH5AaWIOCUJzZ0bA6QbCMbvJ
pPcPUtgj9MceUrmlToXl/24sZZ+RMYlNDPXJjt6JyspHOaPt5vLsSLcj6VdOr3Ny6gzP3y/8lSzX
mmffj4b10AoDFYFtUwor75hSkHh1aMlc0T3ekq1zHBpPFrgjXvlalOHZDr1DURf9LvCcZmcMFRoe
fjBM+exxbLhGBDzS9mQGZntK8d/x4eToPYQENo7UMRVebWxYjCMG22pXeco4Rxa+4IIFheVn5nvQ
kFPjgrx1ox9c6iY9OlQYvCVJuKbAg01oV/gMqM746mMDwY+yBvJIhZqwjXUaVP4ubmsOqXLZh16z
mXUhdW30/fPkOIdEtO3dKnJwbARKpiLHttuZ2TE3rdc5oyLOdyocRxkvndyyLpwwxVl1XwSkzX0n
HnXD0rbPhfsj4G2/6mDpIf/oUPPEgbTNZ5eucIqrYQ0/As4xqRLjIzHLH3Fqenv0V7LYDrCBnvXk
enBdtWKXkm/HyJCn2AEligjgmyI5Y1llIunae4Kpxkut6TZxjdtjnfKAUxnoPsXCMOhuKecBQBQp
6LAquWYqC85UvfrkiSfCNJXbnlyz+YwQdPcdluaNIDI42ax1akNASsdahy3kOWoG40OKcFucCJUy
DceeeiIa6CsIgWHlq5NTCAlZurw1Db4eh9jRNpvhdkatqcmoGq/excUudelhTcZawYKgOLrBLHrO
NZZ+UfCajMrfc0V/dJIMP2rO+KCS1eHAaO9NnhLXMmPHnRXjyfaKiaNUXf302mM0jAWE3ILWWa4R
JmpjvKEczmur/+ipH3zlNDyQ1nNZbGdUDRXOxWfLSU+Kb64zTNn7cea8qtxH3ov6fZlOg7TTXVQt
6qYl3DQDBMjLPT7IAcQRpvB8hb65q0NprTijV5DiyHbVUISeg777XWBxKlpbPduTjfGP3isqHMe3
Li77G82YDqt6ax92vYXdlf5Un/Q+YoJpEspv+k/LrcMzD15OZ36W7K2RS9S1AlyPTnaoRNnDH7C3
+TBRO21Xzb3oP3Xku49tmhuCQlzAxYwMw1dO5qx/edvs6X40djB60Am6+JOSLkIOyOYJ55+t40TB
FtjHqsaZ+l7M9qak2ffdxrU1Yn7FXAY//S+UqMUetqGCIdkVC8UCZDCMnVea6Ua27LLzashPS88G
vbDc8yCLI8j2dax02U8Ei8NUENIN8UR662cwW0caJAHHJAV0CUEzpP06uMyBNDgzwZjeEzoRkl3L
HKXPdGFbvxg8+YuZXcsosOi1FxGlrHMGHH6G/8y6+7VITcgjpwYn17qN6pmBgrUfSyYmZyCSDUuR
RPe7OBKfhNVupUPKWrXjHzQhCJJmO67rhHi1VNEJldPZdAHASFhXH1jylrOZj5IPgr1CZCHsZj4R
gKDgcTWtX3EH4tTKovoUJd4ftwds6DvNvvCza7NwS2qOebOcMH0SKA/zaMVJfZVRb0sZXXqxqu6C
rZvdJ/vFZiDOpvIvLMjsnmVQakBcvVoEQnOdfHZ8+QzrMAg0Yby2KOXz+L6BjsXtgEd8SQV70ntt
J787275P9uSs8iHFZmogcVJTyvqTx3nCS3WhnakoF3dld4o6+OjbIra+dpLyl2OO/yw2WmbjWTe8
o92Oa8uxGXanBDdBnbzOw7ixJ7RtO2GWGJbp0+ncq5WFJCoyq0PfPUwh2bEmp6I9dee3PlJ8vErr
cyRuxTSeM3YZvhmvgSORwvJ4eDvhNXdo+gp0+deYMJ6JuuERmx9FUzT4+VKbAcFY99lwkW72ZI59
uY95S2UhrT+q58jIJgtL5AMX6aEgCHaubclRzF9hBI5PpU0xiYtOGppfZhJZ62xywfVVtH3Ww0fG
iaIbkXFiQnCYAh2gTOGXNAH/Rg5QZU9n80LbvgL/qYeWA2PLYFgsmLq7Qrq7WQ3DWuRbKkhxamB6
yFk/r4m6xfuhDHdkCY1NbEbZ3syIEULNULQxQKsmpDRST8r5f+UCGV0RQ5n2QVMxMWdLdAKnwcME
4a53dQWgaHsOdw39EBr65cz5k2UgNCBp0YMUjNluNM27F6f9taDLcl2B6NhwQMl25HiGcz14xJnH
XvxTLDcIAle39iQY8T+MysOKtdtwU0vxigNEfNARtVvSWu0yqFW7VPiEn3x7QNErD7DbjkNRynvu
ZeZqMFt7O/rZjCyv+rP6RXyv2hkzYfaBmJhpOX+KKFc0BOgO2vYGZDW8zL5BDxfeyk2XocnZmmoa
J+ldhMuwa2wzA10JQ7m36VxFnL1zWsk+S4FqiO10M0598S47rH1kPIaqco4taLM96J9gM0YVmfXQ
CLmpit95U9M1bPLsrjpeXxXwAXhz7GmC4GnRRxAbRzMdRSVynjOBtpIxvkbfq5jy5w2bP3lu9I8J
wAlJwKMxpM2pa5qeeJmkJ2rOm8vgxAZZ+o4rDFtGy0LUH2mfFZlwLuPMI4cU67jL6kBdc2XfYtIF
e9+ixTFv5/SczA01MSmXGHsV9R1lF5nl9ZcTC27dZBqf+7Kc4LX49tFuOx74+G+wz/ygRbY4m2Rv
zgqe5rHL7EczB/I80jBhKr+6+IZvbG6j7OQhR0y7Trnu97rGJFmOaUkdZOPIaxw05ObG7g+X/d7j
hQZaZtog/lTXqLCf4BKt5rGavzmBrkNqaWBkkCzwUV4yIGvkdpL5s3Z+Wqb6Nso559U5VtT0zujL
pngPXNqxps5czo0l2lVZ1vXTZNX+Lm85MC20bO/sZKFx0rL2teUWH0XcPSd9/g+lwVjWebHdAR0k
L6FXbDB6fk9jmv9IRbUvE6/+rCyZ4dq3oqsNMGa9GH13KgJtN4nTtzIL0ks2F9mFg/0bBnA89bon
3Z7FQMOF41wSo/SAU1JpP1OktwnJ42M2988yhp9vGfbaTerqhPmOppU04X0MJfmClaraZ27+zZGJ
WtME9dPlkl0r6IIkg+rg+vfH3C7B1bBd7sNmg5eo1uih6cTSdaWMrwGD9jPStvdSS69ej+GalUl+
0Dm4Z089nMbmWjZld8iCV7tjC5vNUwE+MucQ5fQID41xnoL63qEOH22rTw8YaZNdGw6IO8NwBXI8
M/mxJy/bhk5Vx5H8UTGnPr2tn522pRSv+ME+sjpEcC43LKJwkDTzA4e7f5SZfDeiarz0gZZjQujl
OJulgrYWtcM7+VJA9sChVyZx8O2QtZCA+6FgQ79SPTt0Ks07zAXTrxoWOb4koz5HdcPTh+RQplfb
AMaf6rbNP3PpwkObyRnATNgZdTZfyzT7mtR8LNzG2QJPNm8muZF1xi5kU8xEWSDtUa7Tlf2Drq01
fCy6ngh4bsw592+WTrhj57l2brXx2slhfYyFskMhR72pwo1BZfQxsCA1DSW7S3OS9sHra+NAhfO1
qI3oHJRVfI6JkiD9coX3YPH9GShuEr/RevSFKQf6y+S8pxVNgsjZAmdlPDwB6XjKjHQ4V3DE7Nh/
pHNfPRGmZD0FyJblYFo9GUsyI7l23mYiRZJ46r3wl/ghlPqBF4yjnSPb/eRgVx7m9pPdO0UPEdP1
NGf1tlyK/JaVxUs/hcjtdpgeTRFgbWAbelvccTXX4/ecqOaXdPpzms7O0RlGtZ+D+hawteSF0vYH
4aBJtKN7k3N3HX3PpU8QhBRkDLktAqrQZqTtY62TyJnwzlHoiwNvm4PHeuH090e56AqVAkgcKjtb
fWrKUrZVAJ3NfFPjMDnMFFOPHagl3Cg0u3gfINziW+/b3xVQkD05kR856cUrSLaT5fQ2ni/z1ClM
bESbfZ4EVctudJLUPBKUKoCAb+Ihqdlqy3+sxgq4FTlpyhpfpOksr14H/4AyyW8PdytBoag40EVq
cqSFq9VCgl2HC56sQi0PzyaxneU9HlNF8a5xLOAb+SGM5yA2sTrGwiTBxHlxVN7HPINKGiK1ne3u
s4loXPLIY67dKPjlgYBcOWBhZ+x34/icJiZvYW6HDTHnnsjuuNMSUrAhawxKpq7fQT+6/JJEa+lH
D3DgEqVpbmVKRaNRsOoeffeXiWYJF0K9h5b5cIE3cVMG68lp3j1DPQwfALshARNbqTjDwr0kbfMW
z+YjaBs+jqXnP03r/DMhxSXW+aIsfXZxrwlLvRrogiBGJ6J5+IsxAszuXjXZsNYR0XBu37GuiTUV
fRhQWwSOOLtTrxDtY1BJybBxLRW+INype+7K01IHX6qMfgCQWelqpKlyfqJbvMwtdzG3qI0XmPJR
ywDJU7p89mqyHn9/QSfgw618Gaxq58FJ4BcMxXc7ii4W6ItwmCiPDv4ZYh6cYrSWlyYPfxTUrm1Y
1bJ/CveDxTpFf5NByaoFZxO5vLI+OSIo70b+qHlrUEXJi7YmhBgw4O7yupPXjjjROs1Cb+fZNCv6
ffaSelxRps+4azbBEyrfaZG9h7kMMrsB76HJRt5ds8E+RH+RldJ/VZbsDFqZ5qB1b0L7TADPJ3tn
qPIb6shGSsdFc4U6Prp4xQMDj1wE07Hrux0RI4EG8Nk6iTxg74O3owYaRYbfM8XLsKHeuKVOZZLs
mAg59IF+PwECrzbwGLJVWEx6vuJkE/MBkIX/BTS+xhZAGp8SB2dTUwHdOgQunIIrjtUtxdXMpTiq
En/btNRciway2TgehiU7pFOwPE2zTYqorY5tax4xl9ZnRdRojUQ9bUUYqhtSuMu+NqC+CT0YBFHr
QDtl0yH7sV+Tk6dVxKEpuGzhWnEmFJF7T2sYF372TAQLs0sO0iEL5cw5Y5qvJLumrUkAbiVRKC/W
TCEcmVEfTojEgy7c/JI5EpZfwyfTplwp9ejhEQmr5hxVWHQslma8b5aNwSVDj0kecGjiTu9zHgqS
J69rQwppPHmwHUBwhbbhJQUrEx5WZROTfvGzlK8rQyspMrVOVP/kFUkAAaNAVCQUdlOcdI6EmZdV
j42wrBCb8whjcAP09P73x+SD91H99E9CofjGdIevvq5xO4+0sVW5am4DC/+Tk9m4RRofFdNngRS2
/t4Xz2UeZBdo6VTyDO1rYLn+sRLecOq4IHMzfa9UhzewIXDM8wb2HHvFMh3SJ8f8HZuq29ctO8Ge
mvCJzfITwvx7Eg/9NerqPUTc5U4V+YRZeGc+xQsqchFQImwuoXsGNEGthCjkhgoTbg3LMdN1XNFY
af/1ec7tnmzeu6wHaHIhoy4FxmzfCvkIA0ow+W0Whi7gvn7ujmdMRcl6jinGcQ1vunIMwRJntrAD
C/GmBhnd8V93mNkQmewyeMRjuFwWEZMRa3jKFFCfpa26cygbboWoudnh0m6yARnFp41plWQ1hRO5
oQ52X3yy2X74Q3RQYxt9WSNjl68SjM95YhCqFyNzvfenDHEHp7J5I8DG39V6ybbuSEbhwFp2LJrU
AQ2rPrJAw8mk+PAyARsq9H02pXLRQiU1NrxNToSc8PtCWrZcg7lCBk88c+dzsujScaOYDymvOaGG
Fb6U+JZXDu/UyJe8VLP9GLTDDqOkws62tLchLGusKrCwBrlQbunbT1HSRedRZYQqia5BIoiCQ4CJ
i06DKb+5wXJU7NDXdpopg5LBpr9wI16cwRYbMqvtsS5DFjotwoPvJf1G4qPfo6B3uzTGki/AVmyr
pKgOIUdwaktQO4tWqdMgMnWaIsw+IuIkwOtxIkVf+tsWRaVQc78zp3E6IOZi0gDeMcUubTkNNpPS
wtWG4zp5Dv0k32ujvBUbVEsMWCEa/ePvP/mdH9B1sUPM6LA/M93xo5QHC88rptXim9mZ2pHEnk+9
NNsbG0OSLbRMVrKg8SYh2eazijrRsw7bLTpQNuKd4AXIbU1qfFPmBWjF3nzP8C+sUlFEW7uZ6+1i
sIAVWeGTNn0vVN5ssmw2tjARi6PTjfmWxRKmtii1H4JPfzYnSg29DkTy5P6qZPjbTTGxVmk9oJvN
G3Oq8IagQK88iqCONEz87JknWkArl9xIizWkhm4Xm3LcFIX4BaP0k5ygefWxWYLT2JbCSe/B2Hsr
b7ajbQwZ4prSWsExDZoOSFUW6YIQCZDqKwTe5Lo8Rvo+XgXdfdspATA4jeYjzQLORQmxo8DnS5ME
nbPh6nvkZ/u2rg8wAkC6IbGeuz754NYfCM6clf5Bj69x+vuvpEyunHOik0vQHS8EXnNa2rGvhpSW
d9oZ6Ku06lDxpXX6GwH7X6Xc/j/CkDl4ev+fDXPXn/FPegtj1f6PmNt//f/+HXPzzX8FQsBRATVm
m0DF/m/MzfqX58BXcaUTcAyWmk32XzE3y/qXaUF48aXj2bb0AxAtXcV75T//Q7j/8oTr0gxEut2D
+eX8b2Jujvs3yPZv0Mzx6z//g78ACJojhQ01hsnbkRrC8t9iZlY/Q1HiQLb1ZuyELUWtJ6V/jLyD
/v2jS6nyEJCScXZmx6xWT5FfFBfIUW/JxH2OxzfFOkGFbew/i5RICw0MGyuS4mq5FXjj0b95acUC
xqXWdRTW2me/++ADoBIevg+G+5Z5XU9zlZ7rcj3hYTA8Fox8oZ79aj0FWqPDnQNdU01u/unOw1PX
LGTfnd7cx4yRpZ4nGz1Zzv5CLQuvkTrtBWIlrCSnONHZnm01qIzeeWbUQE+riKPvJfzne0vnbcS+
KxRqOaU88y5UJb3joyACPQrm38hBTOuhaLO3hIcKsFNPy5aem3H++9tJz9KymPwdsBLcl4o0PDbM
4WrTf1q2EpxpZaWHzDGWI4PXXelZfdBT+8T4nus53tETfU4WR0/4rp71pYKGy+yvHS8Ip+tGqwKG
1gdGrRT0xleOcFBpBaH+qyU0m8jhiLxolaHSosPfH/gIk62n1QhD6xLYM60d8bDvQmsW7Hi1dIiO
4bpTQoSFb7TIKczUaoeH7BGShdwnrjNvYq2JpFodCYjNXJbYG8hF9VSIs9lcN8gpqdZVCq2wTEgt
+V/NRasvltZhBnxz18jGObTUVfNZBvVeeGP+Y1RY+u1yYwmVvEwOuN+gCPD9++U/Ydo/0/JZfvSR
s29ztkV2D7p3Mn1zn8+jv1tMs36qtYY0ajXJ17oS19W70kpTrzWnUKtPAhmKUQRozvyZan3KFz4D
Yb9sw4hBraRSiqjg/B0wJY2l+2TaoqKOlLHDG+0VXMh9jRSWaE2sRRyzsTOsVeeTtrvOWj1zDVde
K9eUh0+CSBytcKRfHGpiPL+AvpO6D7cxOvbESHOlnROg6bMfocchmqz1nWWUg4m1n/YxC6Hnirft
yu7N+mtUeuzowe3Tt5NUvYXBSabnbBnRCHNoxVPl3rqq7K9TzXFn0pqipdXFQOuMHddmpZVHADiY
Z9AiG61KzlqfVFqpjEY0SyiWRxX50E8nqTt9JZZENmZzJat1yVFdavWTmTMgcAfn2K669jRL+RRr
tZRAPrtyraDmSKmZ1lQV4irdsOGFC4l7RiuvjdZgGSM5Q3Big3TzGLROGyPYFlq5LbSGKxFzlVZ1
J+YX0gFhdnFnb9jxD/d2EtXGn6Q8AgryNp6AE0Bi2yDudxsG8uK9Mat//FH+SQmKh1phllpr7n5R
e9KfB61B91qNdhXVKtQVYCC1piMFOAd26RDveHSsyBTy6PirbCNxe1rr7hC9M0B8t8krBsg00UqU
tf9rTsKrFdyG2Rf/iDmm6EuL6Gxosl2phfVcS+yuFtsHVPdFy+9A75I1WZ6GaCjiPC+LmHVfs8GV
wPlFS/gciEDpBlRVg1QAM9W7WwNS0d7T4r/6uwegFWUkqsNyINdrAmrTORHr1YGtlwgkh3a82OO9
O1IvZVSucenYOczVdtErCKWXEaVeSwR6QdHoVcUo7jCqnas3EkwNuMbKjCUtrP9v2DxXYVgsD3xP
scSjLZBdCCDvPUIn/ZJ6TbKwL5nZmyz4/fLKiE9e6KMuopH6gXtOGnlY2LlUGomolzCBXsckzbM5
gzwvveLJ8saLh5WCi9tmq9s0LNtwzxjtZdJLHpeI3CrWNpSovpmCzRQszxFwP8uhHFyxXhbZbI3E
0r0qvUZK2Cd5LUuxvPPEpsCS0AIZt9j/s8pyrz3bKEuvpSy9oAKotYHX/jqyubL1Csui6U6vtGp2
W7Nectlsu8iy/BJ6/QXC+1vidKXaCbVmWP7MiYZWsDIjT8z0bmfrQq/TAva4K/pm73mX/24S+Bgs
3hBHma7Zxc3s5Cq9m2NH5wV02gMagab+f0g6j+ZIlTSK/iIiIDEJ26K8U8l0S+oNIbWBJPEefv0c
3syi422mW6qCNN+991z0uyGZjkOWV+QtVUmZJdnkPvuDQsOHF0Gb62Nrb6EHYmtPrykK4YhS2P0n
GeIlZHQLJsq61wqja4a6KFEZnVVuNBLvn7UKkKSk1OZ1mMJgFSfVKlPiUKdXAeFSc3DlJ3eWy9i4
H8DV+lAq39kaQXK22Bk2c4oW18wUcwB1+jfgbKbVD6l0rL9rPwcvT5Zn3/MhJhVnSoG+Wq9Ca/Wf
5DqfSdg8RpTYSXovZcDxfWIgnTbXAcU2W6VbKqFoz0DMzVF19SrvrmUGPIPP5PpwZXXwNXBUvPXl
8rADvbeDCghEap0UqrGHerygIlernEw9WMccjyJ0lGaco+5lZiKoVxHaW+XouaA4vuTdwFyvaJkc
GI/bmDS3wFSdlzhCthqdoT2mGXnkqnB+5hPhk1UC99DC7VUUB01k7vAynpzGp2/TT3/JmiTD6NTG
Pl5l9XgV2IdVah9JF67Se7eK8CZqfNb/ylZxXq8yfYBeX6zC/bBK+J4wAizkzZakpToo0WTYxZfo
wib2a+UoHoL/+wFWawDdEmKb4hYAs0w/y2ogwNnzw1gtBc5qLihWm0GB3yDCd1CvBoRV6WTnx5RQ
r/aElRU7GAnAo9zC389Td9SrnSHD10B2hU6q1epgTud8tT707mNarRDZaoowo9gKfRsdZKpGB4J+
/i0G/xPXN2YKa2rfev+jnJKFOUA9ETDBejGsJoxxBNGtzFOSOeXXIttpR0/WeE5t+WX2uXcLtHuw
1mrKzDXGh5kzX+e8+DGs5o8ZF4he7SDVagyJVotIsppF1GobEVyA9lpT/gpvl1FnhKsOMlG381we
W+WXGIE9yTQeO4pcjSkpmf0Eo4paLSs8GPhXDLKdHy2OFq5w93K1uHQTpuiJGRTQUBJnSM4HD0eM
Wq0xYjXJ2LnhU+zdEachowM9i4RbNvtkLvq72wIOmzyqgSSHpnNH2TlH5fnuuVhvc7sBCwic1ozU
hTb25hJAD2cchKY0cTPN4A6JGNdpbNN3P/idcbAGiXvVqN7tKZ4ek8AhZDTVAx/Tni3V3Q0tCn4h
8gQiHpV7fD7TRjCRe2dch/E8foZxYR5c+cfrKusSS0NQyNIOJ6qDjstqX8rxMRlrP5+11l3lVrzN
8XLvVCuaJ2SiY/mfEWq1RAWrN0pbh25oC14Ior/Y8/DE45V5jQioaI6oQmW4xiiUOpiw6LbEDkMc
geaPwF7vD3l0LUGOu+NcMjKYTd4x/BRpRUldbmPqMtdxQRCfS0kRbUlzILYNAETMXrnvg3/HDRc0
Z2c9iKQ1VNdgNZA1q5UMe2/P+2nUe+K1PUhb/4jKtM64yjfUoXd35vHSVdq+xBoMg1ota2o1ry1y
deTxuWyJi9NVjcdt/s/sttreJnUGFDK+jSM/NcW5F/Rh3CajfJTeD+Tu6hzwQ1WrmS7DVTfmBvY6
DayGjPJjXK13/WrCW1Y7XrAa84rVoocb5F0uHaa9ki7bospooV4tfVUQwNtX4spgDVjjdmTI9NSb
HHhi+pbMZAp2S22cfDzA9KvhYJUtAXAszDfQoN7L1CFbpdWTXYkmbMu/TYcHdkLACuOfXJfsOz0Z
54404o0CPMqaCtpc2jjuQ9G0ePoc6BYUU84wZ18RD8w9lZzZ0cmLaTe7vXFFpE0vMkpzIJAmri2e
qiluSqqyucylJXetpAdpBTHvB1k6kqOZGxxH2EIbhdR3mCQ6CS6NsvafBgM5wtD7FA7ROCeE1O3x
lP8z28qAT4mWT9KD9GIq6Itw/xnOv8VEDhgmPT+1fvknTj5MU//sIj4MN6FOMOonrLjCfh+s4A33
gzikfD4vEUOYMjrkteRoTns2fm2oAIZ+7YzxnXk5ZsmoBoqWkrJOZXesLNqOmM0DvTvwQYZxrq1n
ZuR/U8/99hwAJbOSn5XN6svzM1PlJxi8YMqFQHtNgsXY4em8K1EM93mmayWP9Qj1MMuP4EO7HWkT
h4JWf95wfTK2oh6fvWzxySl8Lu/dFKeIfrO3hXlgUCdCT7CfObemN29B0ge4PInRIDS4W15zftzc
u1LD/oPCgfwW+cPZmlLwJ12i9xDBI8iXxCkrP/hZjJX9XEfpAYAyRe59wGE0qTlsTa4fJpb3ZXL7
f/I6jpfOFOE8wlczMOx+jmtFG5uz60bPRoqpAV205Z30B3OvOhu3zfpMwtg9NW1cHL3Y/IIrkDG7
pvQ0HbCfI+XcRGoHV6PIN+5kGMeCG9ku80dwzk4v9g4R4g4XLOWf2WUQ7sEjHITAK+tHWyzYAYGW
wso45Nn6LXo5SSCS3x4oGFy/DB7tgHTbmL+6w2K/ZG6cInvEHo70Onia3IGsnd8DRJCVcS9b45KC
Fzj6q3CQNNi4MGdp4MeSiNUgOTngEcVMZ9xrh9aELDCz40DIF+sZK0n8xmOZ37kwD6yw3AvRVUNv
jOyzNZNxFKLPdsRUWfNFEpwC2/m08MiS0E6Imubjjj05Po1gA8sqCbAaeh+uLJYzu12YccPV1VkK
e/yCFe6HnYiyozmX7/y209U1/WBjVt2jYOi3cRNp4u/EBcOZvNi3ztJQ9+NTtJ57FnGjTh+LEe21
J0HL8Lt4HWOWeltk+E/KJL1ZPnU5tdX9FdPCLZXLhucOFNWM4uJJVZ8KY5ViA3kevOKaVC1gNmmR
gcB6S2/OufSrq+VClrWb5Ao5PjnkM0Mca9YHmjp1mMT2aVA55UrfQeS/pll0NfngNr0l/zK+75nG
jM8LN8sFXjLWqpTQY0I3YdQQwRxoSGMEWRPIzyIoIYZn/cham2uHA/XGxs8No/VVj5V89PhtfS7n
GEA35UxVRoLn0APJvgeueXOlRx+4tYoKVHVnQwtNFNdvN3z6+LjQg5ZjMbzGuUv7JZlzmlVW7OPn
LDJFqif+Y2TUj+o8YhyQoQsO3mnikH0aMwaqVrs1cjM49W13APxLIrIkCUeIL3TF/NfyE7yvVHMB
42Ma4WumQ54GQins9NB4SLr5qO6K0+V2cSiSxLLCuN78JWMLTVxNP1HoD6a3qF1f7QyisBtGFK8R
tqpQNc63P1XPQ7cdluqDYsV+2+bZz2EYfoh5ddaILSoY96PMuBh19Y/U9p6aIJv60k5sOUXeLDPJ
D1Fh/zOS7gkFdgPTinW/X+UG/g+SfqiDgL66wYAQ72RcZxcBHRHGdXxyjPY26cE/Yon5LruJ+IMh
o7teEwpVgbDiQEbb6LllYM6aEDqDi2g5s9j0PdKri7OfOWH2WWR6RTFCkY4nIHlOtrTnoAxXDi5O
AhqIuvJuwUK9pa751MYUO/tEGneeUwVbqwQVjNGFoHqW3ldgCEYkUHYXCAPEegnQX6QJJBxlhCrT
RBfcN+u/nknEzkC/ejLryNkZn3Ta+Rue9it+59e6LX1oGgIbst/I0B45AlVdxjscEcbSHS4HfHBd
WMHM2ucGTCW6nuOYWO8K+uvTiB5VpOews/AE5Hp2dlYerLmVkpWwVy9MR79snRVUPpqYtlOgdNAx
KWF24QARtNjUZhRQf04Hn5lfJDbHz8mP6aEcgTayOVUh2FaaABPt0QtbdW9sJNjjMiClFpT9nhnR
2ZmIJPZYF3rFxw9R501RYVe1jvyIu+RFNMZLIriKd5QUHRsPbKJV2Ichsj7TTE437gIb4bECLj4f
jGvAJtT6SIXmnp8PIo6KTBDA03KYwMhsLINldub+wwEwb7dNV888Qnmz6c/DEn9So8cuT38uQ1aP
rahE8gYS85SIyt0Kt/uOVfWIGqxnHvVC7fLHn9hoydbS/dun71ab/B5cpBSSAZ/aZYwb+3YYiDjY
ZEl2KRA3dv5EjSTfR7WtZRtwmKrasJidGACo8ZFHfdgh6H64g/tS06WEWzgtjr795I5Ofm/abiGH
CUE2q212hjanuGoxXkZIY3EW73iS9oMJn74pyue8cr0n5bfTdvHC0hydrW97z4npEW1xoYDxmNYX
2/MvQ8P53k9qAAxk6aguiHdDkr3VPgesxcSKZbTfwjPYvjl5NhBH3vqWGU+hMUaNynmSszQfKmmP
TQ6zWiJubeC5Igu74HZR7seCRmavHEJWXBJSvnfxn+am994V8Rt21sXeL5GmbR3Q8acBxVDa9tVq
zC9evWIXgaaheMcI7rC8NyhMG4Om0yck7YJ16UDP8g6zIB1aJTHwBswkXg28jiXXVyBR1kERQKW6
HLr4HGO3h68WF+N1qDnYueDXjzzeLKqcAnGvAP/sAOPux550Wu77em+53j+YM/O+67JfU1z5JyjU
dz8CJl2WfnAsl7ts5L2JGyxtpTYRuaPqTO4X+2QzkbdS87ydo607l909rxaoNYH86JoBz7Oj3zm9
Ex/PDByJKUxa87dMY7B5DnNBm8815hysxLagpuBg1TwyJZwq0rj67K4oVo1hrHBsAlIWc57IPctq
uQ66s7DGB/OeyobzlHOGy+bmkgEDOsSlWA/O+8itfkwGuU81q35T4lqmXmF4TYbI3dfiuRgwhzCy
2xC3SkkP1WQnlGSCSIIYF9Ep7yEh9KbctSN1Cg6mqg23YhzdMcPspCbrzlSGSQVFvtw2BwswWpO4
L3ShoFQuTKaDqmaMj32l73lxkBg33MnnUtuYQrrvJkrti+H2P7iA02DmgoPvATGlZJbnAtxL9Wiw
/R6bNRScqx2aRH/ApuOELc9IEZvn2chYbjocSzcWtgkAEI+GAXWAQ708x9r658mEjF9M0iqNWhXW
An67pwxMWfPwzv3I2PuD89cpqXxr0+BPPjfNhXOhB2YHlw843m5pvXDIsUJaCfSPYXpk9UTAZfHJ
I1fQaeGd4cX3WHUDBlepv7dg2KNSt/u59345Ho1m0vszOe5xXqqfjWOdqhg5Ku+rC9FFHE0Dw1+S
hyacgrlaMzj4UaDKQfWjeJuxQo2hJju02UhFJD9VPJpfTZCghmIO97q5DEcje9NjZG09IzmqxW+P
inMVQUFwYFF5YUT7u7E45WcERPo2JXo77FPHTY6Wqw8pUtALueXQNRa+HPWQwZ4YtrqigjxkjxdX
cJThkSj/1Wopdo5mTsF+8mFO6dnL+ejxYWCRj5/skbjM1Fo33eBmgT2nt+y1v5J2EMfBRnIrLZ6E
BiDsRjd8ncZgXWtZqdW0053NLrtRzoZNvl4NYRPWfDZqkMAvYz7Mpyr6nmjX2LD4SEgeJ1MF6wF6
3sx5xMA688SFmPedWxzZE2ffPmKjlTsU/4IIjnurqeF76pyGMxfdMBPWGDIvZMgi2k6BGocpX/Ce
7OR2dmxJQ6S40dLwAYMWd2Gi7UNhexvL9GmUiY2fRZyA3ZsyIG9mfaR84D2qss+urP5ZCuyC4UyU
66AlFuxQEpJMqZffqE8N0wsDS1QsoXEY0SN4Jb3wb50HvKmiZbiorKsC1G8s5I888FbpEL9WdjDf
G6ttONtqNgnR51tzYMbdY8WktDA42O5ScLECpmZ4NUHuPPusQQweJsSuQ9IuH4Xl5edkKF9aToTg
hHJ8+nlw4o1/gdSMOA+pyqphjSzgHfcFaNodyeMphIiusdEqSBt5xBjPX1hm4TfXTtr+1A4iVrkN
VqDCWLXRmU2/2ca0YAATX6Gcq8rWGcv6t5MmibhHdlbShE4vYRx77rxrqDnhmDrslWp0OFjFywCK
6VLLgWp1MsmNMRrbEgP7xjNaO7QjUx3TfH4w9IgO0jT0scIiw3B++VF3JqtZlh98PCl7u4uad4NQ
exhHhjyqKpXbREbYKRgo+7BoTrnXLhceozXxgQ6Iv3TbT1QQ5jQR3+jJWTaTMwZboQc8tGXxtyxg
3Zit197arPvqAu6+eesc5sl1Hjl5rCe7aXDkTwNbpZQcXTrrVkeePkad8WM2b4XdJt8ZrS5JbkDZ
yOq3qYHE18kPr6lwmGDWihvNWh/l+sIbYYKedpFxMbr4U+xtdUUg01vSI8F3IqO+zo7IPqiEq5BB
5/KRCD0YPXchpuz6O6Pm2wuoeE2zX1AibzGTDs3VbA+0vT3mXo0nR956YcfYLf8jS2MjT2NcRn17
GnrLPv/3R1sFJHQI77jKJZZjoQWwgaR76pXSJ5urcYMMC64lxrfSOjtOWec+oNVBq7R6doJkl03w
Xiqd4AuFx7Z1fT6CzkDi0usyPWuDWVlSi22j6n+Fjv2HAT5kjzHFpnIx9U9WBgQwCVBUUXkO4yLs
J8wxLwMWu5BReH5UGs7mwFiPt5EjQ2cNDhci49lfyu6UOsEZtjkevi4oD1aQxdtFdNa1rON33ATq
7zxxrWaqu4l7UZ8aZvVYMCdrt/TTmaUaMKQJSyRfFubYlaLAoM5v0rLUraLYfQpUfWUNwGqcgQPg
vJCSUH/2BRAU0Xl/RTd1ez8Dj+TF0MmixFtujq5ewBMyay97/MDmBgyluk+FYALtGdcOvOvijC9z
1h2qHhGsWS9EooqMvVv38hY0nA2stAV0KNS5E9U3q6h98clyNnEaQJBg/K3LifF5Yf9wcmU+4yTj
H5GHXDrYYo3MBPjQo90Q5romSvevnsOuHzVPge9xvcbGHdo8dbf//qB4xtigo4SDYWMkFOb4VDjN
xvbM/jYKTccUC3UMQPRMRRQfQT+5u1FyXS/l9FFrj15JW3JWclq2TPhFdlbesJuflcGAKopaLjU2
gtk62gUUFhzm2LkHVW7yqPGaVGaJ7b2IsX4ZTG15sQ85+jBcBePOs9K/eY17ptnjwL3WehLJONya
kjqLlobOuelec5BDW99Jg10TiIcCUMvLxnS/VJa550oiPjBHhMUiDpguhneZ2opMi8WUHHztJTWG
aJdGkwCG6yf7Nsn8o9EjKNo8mRfHklRPJM7XjOfNqMQvG9WH4nX1W0f2etVmiAGOohNBFkpyIrEo
7lp6ksoM3rlByk87956JJWch86OPDugZZZp4XuWTygdyVQOzl5LFZ5gWLvbI883QfnHhlV72LJ3k
PVbHErV8YzkAuziGL6QKuSr7lByQ73gabPvn3FqklTU8/nwUwQHCJPoofKw4LR/Uv7C1TmwghTfu
4gpdb0hePD2lB5V1/O1YajmPxTWMCCfZS9JAhAk9RJ0eKkbPKDItMlrBsDhslzTow2T+Z2hL7ATm
5zBGphQ68PY5a/KuAFvql+oPo+C0c96cofoZWNwVvKT7I4vo1WGce4Cw/lFmrk82XodFUoA4sb6q
rqM/jbvkZuhITq/K7dQaO791/0wJMTK8d7IyP+pp/BauvkRdmxDu8UDkfvveD4nxfT/AZqLkC1PB
zHEjpj8zh2aWqQUC8FJ91qRX0MQw4pfEKeDcbyaPm3xNJxYw6UtGCxdmaLmVeEnWeeyxc7vrnCoQ
8jwAazt7LSlZ4iNln99mHZtN5FGJOE47KelGqUSLH9C8MbaemATCN2JjzW46NX+UwggdhjAD8DWg
yBgmVfqQChG2DAjy+UWB5aiu+Oz7d2QOtasL82WhdcbECUcoKz5bbvXu5+Ny6GNS+lPaMRWnHMAC
dsK4tD8ton0ou4I73GY/8X4kDOXe0LtedSefnZqpfIy1G17/q4iBdKuO4WeqrF+kqN9GM7k4wcvC
laL2LIZN7JzL4pi0ke17WFHwpj+jjItiR6dS2Hbc7paRSOoo4npdXfbmWlK31MSjlqEjCW6sJ8dq
zdIG+T3vWbXMmdt8wdFrdqK31v5NiylhBY3jMWEVj1vrR+oIzDJJsAeC8R0VK9jOdt2wb8Qb0ZWe
z5/aZsuq4kPnoL5z5ww7M8fd1aQ7g68MbdclG0wSkTJtrOaRLx/Nwoo3WTZ8o8nbz2QzeYfmtyIQ
P1MhGpBGaPkih9w02s28V0723edMqWOepE1AlctO2PaZly3Yp/GMjlysv2fgfCnzkqy3ZtzqN60X
5tAI0BU9GMT6twxvPswYvKYbM9hPLBAAVAbsNKZWjvP9L+k8OQl3pySdaJdCXAqNolaHuJ/VLpgg
vs1R9SFxiwEYgFvtTP+q1iBy7hX829KmrUE/fDMesZEDKsy831iZ722CVcrW5lPfezft7vXwVbX5
Dwxp7zROeFceGmP+rVMHbRy0Z9i4+tsRkxdWTX+gGONpyZaYIEh+XwJuA957VGMTiyu+siRuP9SM
/EMZ4H6KIpqv3IKS8pg2Efde4NYK63gytmatLyDMaeiu1nwGFllgkNO2yljKzOGts8pQviw5F8ra
BwE3JKFfcAKM2Tkm74QZ40oe5nUm77GLsuWkFodOP9+F5FsW50wFPgf/Bs4ZJxNcVfWlXfCTmhrg
K3aocJTVIasjkqS4bxJ4xHurKf+mg7WTC2iAckReFjy+Lk7X7TSIZeOOI44owX6ZgJ+oa6w9XH5G
tGEizsBvIZ/Wz1nkILE5Nei33A6zsYivGRYhCLncRoYmM6Ec4nhWjgGLk0jEjnSB3mEYcN4TbH4j
sQZMmK/4uW5LlTnHmB7VMAExRXL2xRHW+LP2tELT6fxbi0Y6kRbnuEVcI4ssmrTqf6bb8QCDI0Em
Xf8w20T8/7/sYWuMMTftroDljs/b72dJWpbTlwVbbBvAlbz5NrlMfkZiWLBcVWa/EiSzH45KnYfb
IkGhN9VBmtw08tYBZ//EcMIW14rpKXA862UaMSU1Sz4SueHYNXiu2ookPgXK+xZrHh/3xc3kIwzH
seRKRkl3k+wqSzxzT9tVDikbI3Luab08KzleZUPVI4brGn+LdxzlwCRi7nYpa+lWlKvzMGD7Waom
zIV9lQTSF25HIYaHBh44InWO09+O7HlXpJF7dQ89zVv4pnaSVrSDHBm7D83SE5oTAsRQQzjOvbgV
S1krvzSHv3Pr4XAuCmyBoSNHyt29zUR93rulRzwd4Aezpf+dWwX9BDEqQgDPNO3LI7KQhosP8tuf
edprBeLT63PrsSQIu6jmx6Z1Gvq5yRgWuUKroGeMMSmbd1lcGJmY56yshzvmehzfdQ3oSNUjaL60
3vuLfQ4GO7jbZr8+p+bAC3oB5DrhFEihJwlgtklm+xeDhC7YCwBwEPJlKMRsE04umARigpwJwu7a
yYCnPMNapMNhoTyQDKqZ6pPPXle6EoKeV6trEDAZ442OjobZf3miOba4BZ+sHl6CXqxbI21zP7jW
YfAbBtXurNA4sCwVljw1XsDZGFKDodv+CC9SnHnKmnM8sCdN1VXHjF7c4WGjoDxlujJDOCeYm1qw
f1yybHytBAcgbdjXYJEvHj78e7WCnRYprzO/9Q/FHMi2zfYgTBmE1FIx1MsxwJgc79Q7dKPg7vEO
s9J7GcwWgZiHKahy/OQx2NZnASFoj9j3muAjv9MQilYdcW/oaFbZeLCiBJ/DxaJKJqHOdls6gX/X
a3qA+tMtrFcKlybfPjcTLBb8NcBb5D53Wt4oAI+cEdV+UFHxNHvU3sSDYZ38cpQXKq9wB0XPDtaG
17KT7342VWfhFTdc++1bCfP1Ysvl3Zl7Vg0cjrveWhihRZ26JzniWZwAwOw5XYJRI/y2eMFxsoPf
pmvaPwg8PgWDar5Vi1iYmltf2k4optS5dXhRtkYGCR9cSbwD7/Q5s5PZGRd4puILYWUE5w9t63Jv
Vvk+KWaaXfuIzXhC7eH88082zCn9JH50dsEKq/pHS5KI0f5oHrBfUFlTIK04DUTyEnqKPSWaRGfP
HUvSO+kUPmB+pHk9wVvsYIbjUO9DkmOwXEbDfGliQv76IHuDTpsBVb/0GRCqObk66TwfbOsM/drb
VMZ81rRO7hC756PDFStr44dqFc4r29lXxnBcyoC5M+fDURGmNQ6DZz3imewJWbVuW0zDrQyGnyPN
W+EotgMs47DO1D8WH9L/bfaVeLZ5EeC1qpQfGeZNi4u0ZlDlV1DA8uyrSd3fTTv5hH2O/mj+tK1s
CzTIOVZ0Rd98I79gOis+d60Tp++8ut4m+8rcXv/yx3o/VfwWsxjFq7uiv0UDgT+HBhXCHo0ehE6h
bAtWU9ornGPH69tHdsIJpB9PnCDeYldobCt9dm2i3AX2VZRcsbL2kIJa2MDmL1909mGpnwYjzwRt
5UWYzTfdYIBxF9vj0Xc24+IPu4k+7R0HCAJkhYON2quZfeSkXVrqwPbTumvR/MAZpuOcmDIp5BJV
VNe+l9zby9bZTpjMQhsTkIYqcnfxzNtJP5+beDk0A5yJDjTLCUsSEV5iG2U/Phdu9TC1Ti4oYobu
n+KlT15cOo7w2hKBmQMfx59Cl1ic+6p43f/7L79hIeCOmoYTqorl+NYFYewXZkt1sOFw8w3dJNbi
fIENNafDq1/Zr77Vv+Z2lVwZT33S3JCfGwI/YdTU3SEysms8RncIiDsiAR5mAzk84aDkqjsRxO4E
acTOf4u0hM+Anw+NlkF062v5VGRC7pKJ22+cR3tQPqSozKx6MKHhloCjYttQpxp2MupIrxk/0Nhd
WjHz5ggwmSgCRJZA6dWfN10TPkQXcvI5sjjvFJ1xywzzte1pMYnEfB/yuMEqSs9ZTJQc4UoVN0fI
j8xazJPhcnYYi/pAaR4h58L/Uqv7hujse1zO3YWag38rPP3QJFl2txMsTkAjy22mhTyn6x9joLND
HovXpXDrezmnzT2JqLkZHOzpfUWuW9D7bZq70RW7oM6bh5VE09lxo59gp7pHIBQX3HlRR5rKeCL0
D5sxzCafuafAFJqorSp4k1PFHaCuk71Fg43q6UYXXvPbddVxNAuDIXLyy6MsETcPeiHHdL+WYhsr
/6OdHXPtPthI/mpdaSQgekCRjUhdBRpRhZutSPQlzxkN0F0H9SUot0ibCv1gee3WXpihcZlXNHJj
Rv5pSkyApZi2qCTpmSUSClxY9KhYjDLbpFSMn14N9IK67Y7nytCstgBcXgaShV/WhJCGEkx/4D3X
ZFZZyJftAB0Yh0N9gNTeHFnXj1OrPnC8LyeS6lPqqvfWZpaqiSqGjHnWSHY0fLDkEApd+A68xaJn
55WLln7zJ8A5Nh2XsqNKCNsuTpi2+zJMiMkpSYrecDsA0URomZoND+7qrwgy6YvjTxcWgPYUkTZl
pGaaH0tFJrrwM8Sg0fpXmkVx1pH4MDAdQN5NE7WNUzPZBcrUlDKy3zVTvSt98duIuc7b9Ty+cX5V
e0W/qY0Niw5fybovuUa6en4gnePKtygIqDviHbM9fcZF+YA5PmxcUypKXLQ8K8EEe2ScTiR046ih
3AmzfCmThm+Kj4oOP2yHqUEaPvdZsesBW6Ancv8EZQYHcG9vq1j11PjUvLaVFVazbUFICcTeneSK
UtLNVdU8qXEKZkdz5Kex/jKkPYk0+Tuzo4mu4Lm+MVbgmeGot/GW1SCUOz8pvLxD2ojODBRY/AXz
TYskgjN0Aq8+FY8sZA9K3+Qtw4y6OqOKSl9Vl6SvXdWA0M69Mzvh79HRp3wABNYBAamN2dv53UdP
cO/ktT7n1mw+iREW8AwaEmkSjEUwLwiCLWxEY/rESMeSoCGzjVRhTX713gYGtoH+EJjGL7F0v4aq
Bk4xkWKhhDcPlf3HMUb/HKDHZ8C+SjTu1cUCM/EZSkm5V+nPJM/v9XCzMkRUdL50E2FD5JkvEI+a
pHmuLG4mGRFSsCjzMyvTeNJkVJvuq+GUtxEGVclTHitanmBR95gZpxh77ci5IdSQx0Ztpi+Swbow
uzeXGvpNHDvDheeye4Nq2+5cR9R7C0y8E/SHtDZ+uTbCiK0llDySFgEQTRdkRNAF/SpAVSFNyPqY
eeWlhBJaE2MdGbrv5nqytxBjBiYL3NYaQd0xPzVEI5L/ic5+adfj9R2XjT2MyTbzHg7Ou3w2MBQ0
YWR2p4aztSjOCJs/XWd6q6cBT3XPkDXlBEGFWOHbd2TbtyYCvlkPf3QWnHWe4s+NTXI9vn1jhMg/
Fxm/lAIQHplPuiGOQE+LeWzJxoWLyEC6IvCh2+eA4OspFJXvPTVFtU8QrXYmhk5GZFjTVzXuWEd4
YGjbxVfo58TWLALuTWIPpwu9Eh+GdIGp3syo8rBkm3Q8rgiSOt5Pk91hy2R4HMR7DSB1YwswZ/2Y
/CACU8Otn+SwlzC50qx8ztIBq7xho+jN8tUfunOJefok23FrDK59bf2WRi5zmbfcnt17RUZMOX71
UpMw3fhgYr9FS4YudZxDEs32YYHyj7e/cMA/YZ4VTtM/Bfitck7xU19MJ5pozi28yLvEuIPegJfJ
t634PsUowXNtXZJR8mvZ2PQ67uy+mLlaTOabDRLhxLaXHwdHqY1F68rY98au8ZIj1s8WQ2tmnj3b
OeVBjI9KlNvWs6NPsO6bJN/W9uRigjHKN3sApmHMQSgDUvAlEtINekR7KwIEFz1b31iMOGq2g7Hr
7eEzULSn1pKaRt+qfkUt0e6u56yXYXcljDJmxrmop10+vIEKni8lQ45T6eVfcZ8zf67GT/xPTNQr
irVqLMEbRMxPhXPrGtRAEAtnQJOL4+f//uD758fS7p+A/4WtoylNSbpTlTbevQiuOUm83ZTFxv+4
O5PltpktW7/KiTNHRaIHbkRNCJAUe6q1pAlCtmz0TaJN4Onrg8+JulXDO70ThfX7ty2SyMyde6/1
rTCTzfLQL5R7KL22XBrmH2RSfHAM7FRZqzfbtgHNtMVpKhKugsI6iqh+bgy0IInSbxEjxBxh6xVN
PPwluzYvvkGD3Fsmxsexj6psyo6E3pc3jRbEjrP5AcbX2mYgLGhJUjvUIMih7CRhy28N8ue2rh3D
l7Maekox1gwkkDrNV3SSi9eqveriF38QVshQVns27KENbTW2+wl3w91VPJh6DeSitI36we5yLG3r
qN6AYjrlbBBI+j70zsaR3ekE2NZi3qR+7Z5VoTln1dO5gwY9bLSpH84OBLJgVORh+tMxwbTnehPk
jsL8HmfDuRRCX6k0RRVqAE0FQy4a+JoR1EP+QfhA99hx73bMpbwbJGaF5dgPBJ/lt/mHmTgHPGfu
FxgwsseblTgf9QdH2elTWV0KW6hbrrwtuRXRocgHQDZQhs5V59KGtVc3h1a47CF0B/xoFdwBwt2S
lqpOOinnlCdtxoh5AUOmLUdlps/egIUe/ka5Ew5EEZU2/ma0uu5BL9CKmK25JxYMSmjaH+IR2j87
sJ7qL0ZEcjAMJ0hu1WrlL5LfzHnuUFucQ6G7pAE2C+iRjEeezHreKlqqo8lhDMvIILIARgaKOj8z
zgiKRixpLwuXaj6NLrRXZVnX8Db6roNCx23F2RM+oW2OfdBxnt3/fkFb9+GQUMeWlyii0o2CTjLf
pvbkPEjSEAiMWI7QL5JbOnU35EHziTs7LSr/l7E0SCHMjupLzOUps1AL1W7Qz4X1qBqGzBCWD8Xo
/SqHXjvSc33rXTylXNBulgkrebFGhSrJwq6f+Z+QU4yvYviZWBIAVFT86HG/oeZn+Ri6X78r5DWJ
Zc6fOjEyngBvnNsJw2CLupYMh3PeOYjCfSyZDLrtiqY7kdvE9DiluhaetI6rK2lps+KqxdC205Lr
ryj69IwmYZdbfNSaovLNWmvfEE0VuHZ6mama13yaByiB9OqGuz2YVC0eT7f7URpkv87xcEmU+E6G
Ba1olXInqA69RWBWRcm40q0YMJPQm96qDtWFR2dvwx4emnnS77WUlpblkuk6O/0eJ1oZqPxPn+h7
gxCtkJqp2zbsgTVqdpNLdQOkH0xw/mVJtwqWUvxp5nGvTS/JFN+jCQ2Ts3poxpmzqcniOyAU7TZp
cXJR9oon7jPuevGwKQafDqidNLdMPNia89kKS8OSaKzva7IfvObzb5cGoddIkK68ozKYH6YJEVjL
ngQKIz2PzQ9NdMhUfY+UB7v/iKgpgZKUIaug2k6jxOKW4EjIs/PsKO/RibQPr6SlvGA1x/7scVrr
hoXOr8MNA4V1Z9LOv9DqfjGjNj4ykqP0LWx63mbkXS1CrmlhhVHSM92C2V8vaRUi4qQnyrS+jVoC
TvCJ7erYqi5x3SFvMsoDnE0D/Ver7unE3oO6bObmW1ymzIH4T4zDQVfJao80IcpEVXFoJCMpmZM0
VzTTpfNkFDgr5BIV2r1pMrY0t39uylEGmozelwjJmYztZrPmTPHmbEeNQT3hcJsq6t4A8Xy35OUA
6iAiL+Oqi5BgvX0AWUo655zLXF+TNjIMYuYTjYFum/nNVz1Ff0Zzeh/ag6Z7z7PCJwKS4jk2Ee9w
W/tlo911FR0WOpnQgXJ+v/LHy9Qt8EzHk47mOr71mmUy9WMxT96MNGR5rm+o9qe9nzIdRp3BSRBT
hg2m+IgbXiLhNRtaKbCSIoBJtaUk74vOj4wmNAXkTkGt4aPys2cdslZve2E/+va2yOD+T6sDsJzo
VLakHk4ZJEf1lPrtz2JwfpfZ9CN20SEkKXr6XoRNjRCN+7nrlbdUOHQHPEMPqmoNENWvqcWbvujL
d5fEcDyLP1HWKgRO9Q+Bzq3WsiuJF2dfuDq7T/o0AiTdyqma9jDgzokHL6muTZ8MmQ0OCokZhcLS
wja1X98DMfKyandCTey4DbKgWrHm15eR/IHUCyaImUg7jdMprgij1JB5+kV0nZbU2fY9ddJUZx6E
Ks3FZbIBNa74ppnCupxyulN9fdBmuc2IYHfTQYPfw7CuVu73lK8RPc1y1JY19CNdM3tb51RZ2atP
LA4dbKZC8Eiq4wptHzKTVrYlRWi6XEpbNy4PMEVsZujyHYRSIzoZ9BlJASrKJIEby3tNLyIS650u
S5qQPbLzQIi7wv1q1HNmQOLDLmXOCUSYmJyomByalUIYgH+l7G4GwnL+WBUeW9RGRKuUrYRMFt/K
PP52rC4KisT+1cOdDGIPG6hT8hmNQNoqH9XdlMzPIgaYVDnmc99WCJRXrlY9iJCbRIJx32Gr9Otb
7b2UbfFmpzxlxroKBif9nvQI1ZmBkJhWiWL90GWkG9XTZGB/TKbs25rTF2S02F8UdtuBfKxtLm9M
5H6WNj8s/BkCCllS9J2CubOeUQSXh4jUtaCpwPdN+pPX+uIh7z7ofkBYRNS8SbscvlierbGSOtm6
mdiRHH8zlP6c5Jp4MGNFAC1WCuS4+g8AGTigFy5UcdXdNZq6IfZczL2enm2MmA6MZ2u3REzXhhFD
6FIdbWeN9rLBUNvnJhLw2ZKjyYGqhHjo9SqY4/cZv29AADj9m1GtHFR376YL9NsSNE9C/LGfo+Zj
tHKmMbhtfGg3Mp25inFwBLS3GFDBdbRevSz7RRAmi6ySRw+89oY1eSOr7ZcWVS/u+vHVQDE7NXS3
3vkTYf3YSuWVWw+d40qgD4hj3/plxN+ftDStInYyK892jWlfFuDnWHLzPVE8InTlY6y65sWanMtC
3Nvil+5n5h9GN/rQDEecpaT5jDrAB3adXLTScU863bHSlO5jXR7Hss4o2rAFlnl2KyC/oAS0SRWs
+2DWCZTnYoQ5BdibyeNhC0s8oJQLxMrfwQ3RbblJb0lKR7xPUeSi2tJJfChheMu2jre22yNIrGRY
5QCWsd2D1ohIT1Rx+k0njSHOn4HgjxLB0q4fPCQhjfNU4S4IXBoiG6t3dx1KlK0leDqattzOMXMv
1km1w76zkZS9G2YOSGBaoF2DA2x4apCmG+k78l0yIxfu+SJ2HqfZDUf+liBXzdqcgHimMl50mqFY
begTrMhnLWWFDz6isKjroU8yLZk7TzzoEKuR1KNwXPrunBHWlczuUWEZCc2Fc5aWYTAYwn7AnNgG
wiiNTeSUEfJKxBxVj6cDJ+pOeV1P3aC9EVv0N9km39ueTa4SUqyjUz2lzIl2aZuh7xLZK7PvVSSC
tYdsDrWRut9tVZ5aiBydp9GvHpD30MZ3OflMH2VYk2FDT74T8FO0yuL7pJJfvBUizNkAA+Ujb40B
FgXkYFjkUaP8WBdNWw4/dUKfxiXwK4TEejavsv1ooZ2XPMqYI3KRBOms2C0FR3+/TAPI4dqECkHX
tdfbbeKfrCFxHgUPL4Jtf5PX8BRtR5upuWS7AoNsZt/bpJSfvTOYd8rV3VzbNpWwje4KX3HjNKi6
sabvvbrbu772gi+ECbVKz8VofGi0xvcjRekmByrn4faax/qAnuR5cpgRDxkLZo5kBXACKKlvesdc
WG9D1n9qTQtZMB15dOSXl0SvYGTMg6mbX4Pt31U5Av9fl/vfx3l9riX5fAEZ48SrEe1Fxs28Ybbd
bQnMyLhKrZdb2p0Y1QKsvj8oQT+SNP3Viux7UZzsJX7PMHtd/OGydjIpphysRUPO4H7hDLUHvoQE
qoFnrDqkjPSaqK8hZXW866QQ4SmIAyUnUqY8JF1J9B5NEwQ26L2oF8Uz99EBHhvJc1jTtv7Ah98r
7Uhv6kOrOH+tZI1kUWqN9VmqXYXiwB/7jzpS7yrBcSGb6DfJ4hguTKYNccOPLJm/bQYp9zwm0PCs
WzMn8zbDau8uEeXFhCUJLgT0AIuqdwCOEBtUUHbKY91LNPwQqxmV4z2E84PtbvbG+4Q9V3IO9QpV
cUvALvnnIlAlzBghxcvfmoApbcF9lKtr63OscKemaLP5qwghSAK3x5OL6kL3dBHEtG/ignWYa9oT
EHQ2ACTgfeWoPc37OjAJaNssTmRvPQGZVIO8B76AZpZZYD3Yjr+TVhG0MFgxMo15//dUrhMSOucW
MgZZ0MtSRXsMp1mg1+YL8aEX9ECUlgRJr5UvyH7WFttfXJIuJhyKfZrc9lY32s/OS/hc2R5KCj1A
HMdZZXipEOikaflN9jnHIKXimLIZ6Z34hIiw19Fd+IOJyY9RyN83w4yiby6lf89lLWtdFnnoA4bZ
xp7BYJsSrfYgYDAtPOR6uk/yVYasljbQbPVuaNOFIBXvaUXMDfaoXXKL/WjpsPeuta7G9pHIGRkV
+1KbiXdHccgPicHsgRt686Ac/DGRE0PmX2/kxthH577Qb3+/Q0oED4BC1wPT4jiq29UNlUW2dftC
EInSSlZ4vwZmHCM55IGm829G9vQyux1qm7XOm3Nj79tkoNKyRZXpoki0650nGz6UiDpWb4anfKnu
Ux1/o7oGtlJqhyGhowITiEOHkTS2+BxXdcNNWFjXHhPcpp3041phZvPyvrSCYUJbnyaKyNCO6Xak
1UF6uL5TkyXR1XG9G+xDxsnMBIJdHrkZF/+ERCSHt8daqzq856SUWzlnSI2QULjaLa+Lb01nc4KG
TzdUZ9is4R7DzrkGYYMfDmL2uOBviZcLcegh4m9MxN6hU6MTMQm7mFr0emZVHr1KdBQcAOuhMo04
HGAEhBXEcEt6ex0gdDwOm4jPM2/wm+C2344WK7W3Hj1fAfNBLMp9VQs7we2h50ZQtXEHsqLfIwj5
tmzpBv6rEy/vJGnirInYqObYf8LuektgjwxDPQf4BANlUGcP5lr2R8xVDQsTmfuWgWzKPboFZAfY
nvZsSup2zaZ0sVd0qJ17Jx2bZD9R48J8SgJ02rQRzSdWx7UH6bI1MCNxMh/mhmY+iruwAxyB3Aqx
P0XhTtReHQLDY8Dnu0/SLgjT4jBnY8z8u13TcXGKQ5nnn7E+HBk6v9cNtXw8gfGp7WQXa2mQj6r/
uzt6pF1wi7wTtaaCkQ582JofLYlRTLQ24zzSPW0pyDUv+9ZiLM8uqyCiqP27vgw2BjodZBqS7wXG
KKfDtl2XhE3duPFz9dpl6Motb5+U/RkvG8+JP/Ah97xvo8FhmqbTKiekJ9GOD2Xi/OpyKutl6u9i
WttJRK1ytUi//56wUuNdYPIOVcJe62ol4aSMyy+3sQLFHoqokPIQi5yVWs9+OVKnN7y96Ai57lVs
inC3vmnUgBDACt+MHJdVx7iaXF3QKxbHmcfTEKianWbsSgT07lZjqEW2AQ822OAY/J+xg8aLo630
OCPWm2abAxTwNfL2CLihyHTRWph2xWEJ/SlPryA+uVr15R8AoFgHywYVZxVxoPk4QTwAdEQ3EZU9
vzew4yPLukqD8rx13XLTMzlaWpZYzm+Pi0V8j5e+EH+MSWF4B0Nxjgam0FM//6784to2/EF7ZHhY
xuqY8bRxbxjRm1JcgWrptlZZ7rQEEA1iK8BxtJG3NaQkyyIpb3KYDoipojGPo24el1eVjsUldS95
WX7ZvaBjXjHKRJmnXnz7mo622E1shNspTr5cn6cx1cGZEdOZPth5vuUh+lUtpBa1OWHfFT6zamY1
+ZN9GvriebF4rMYUHlTXZ86/rqzk+tj0YTz02VN+lWp5LSHLbRbJ4dxEM65imBPAlEG5Ej2nIqxj
JmlQyHCx1alBdCHSD+OGFZtTkxsxi/VHadc0dwGXUoLY44NG3Pk1lslEs/bNs6HWtky5sENynRZN
cmJV/av+cD3ed/SPyab405ondr8c6S3y/2yjbF6s2RQUEsbB4+KeOO1yUA0uIPifKBK7RAsL0fKt
cLs9KRPEaUTeGxoDGJByfrbbdf47u7tlyQhbcF/ExO2WxC3ew66HYzTCm5LmH+nFOSQK9qbU+Amg
j8WFjY/u2SFNdXCdzfCCAcV/iiiwLBbP30OKxgEf6TBXNF1dBsW0pSxkACClPXf61XkuOc21oNYX
7m+EXheW8xoVJTe5OdAKSzWfFjZJZmKtIiyuTABTGdPUbb3HEvxKRIvOPmIY245LV5C6njqkLaFF
ZdOg+9Qt/Tm3mEkgEL3jESOvTEiGrpxL7UAslKaVw2kw54Mg5e0W6+xkqLT2qm3TixvN7PYGh77r
klRO280PRKZDm5s45oueulzjed/1La2eyW4ZiWcYK5WCI4+dUt8y7s2vBjfCqBb7/6+RmiblsP33
Ff5S/yf+XYdf/dc/fld9ijDsq/z9n/98+SrT4h/Xr+/hn//+7yul8t9/7L+JmqZtUisbPjRLzzK9
f/5j+t31wCyd/zB0QY6kw1Ng+6bLP/VvoqZu/oflC18IAQ/CNVhB/03U9P5D0BzgT1mW69qmL5z/
F6KmvvIy/ydP0/Vh1/t8sfnnDGGA7vyfPM1Wmt7gKKfdAjy5I1S7Dp31YLryjhCRe4e2tZiW62V/
dZ3m1CSazUGTbGopXklm2RWmOtVJ86+n5F/v4f1f//o/qqG808Xru//8p6EbvL7/9WMhVnAd2zd4
u0ydF+v+7x9LabrIEO2SHWhw/1NEymyQOrILKv2X4yHYIA7ksav1R+lk2zFF3D17gwwTZ1IB+UwR
qvnoW9p04hqPlluEV2HR57uMi2pv+TVzxHw4WnNWHrzyW8+EcdK42p87Eoc2NCmLQ5VWdyPjYii0
+AVo30faLPxLttexrtlu4Z3OW6q0n6aJpVxPYYAybdp72bqM/QvBwi6HCCo6fK5l3kVXX2Jp1RFi
ISiszk6mf0q5+A9WMZWcKNoc9qGSuX/oF4f3uJjSS1f1Hygt3T2g+zEACPwkmtTi6EadXzoYmVAX
dC+VRgvDStHNxQYWaF9LlydXlfLCBP7md0fd3YkyQR49AjbIBScJpdrPhvx0Rud6sfNtsE9lQyXI
FOY6+tF8zdu3XJDUp6M9eOng9DCpn6Cqa7x4Z8Us4csK0hXQaYr2PuFDovHeLzuU3M4ijhM5u7Am
JzPRDm519Grx2cz+yc6YgcapwdlkF4BQCQMCktyd/YgkcC5Ex2xA2t36m2zSaBC6xttYLObe49YV
TtZLTISCFGlBKsq4HCVEn8g6exZQciN1ta3Uv0gx0fe61x4L+JqZOf3sJizJTKs+aYA496avLprz
W09Lfw9k9jMCabfpNK69XeJF2HxJPfu2OuPcpd5PxbHORREqRD8Mlx7ldzgMGFpoogbkLpCcRZTw
ZrDzO6qKZVf42MkdV50767jUWbwT1qRv/JtMMWm3ai0V678EspiAa0tCROzb76V151dOE3+LKrZK
89e6xIDIR/wJ0ZnwmlX1iKusJxJBZc+xrD+smag4U3F/pUOMSvKx4ANlcC2Kte/yJtzMvS6FgQwN
sPgViy6wpN7z9kx2wMmvShCToBx8vkzds1j025pKOgEgc2sq/7VxnWzPRIeYRMk8X/mAqdLKZBxh
qrsGmv5oNwwnumk8DUOqnUwmZORCGt3eqi3wI13xU0Mb2qQxtmni6zuHmRGX3K0aUZpKZ672ypyD
wojkxUO0GP59oHpAU9s6P5gpCLvKah8hkOD6plYPmRmQ3toXTzKig8bV/pLEhrw5TcEYDDjO+lts
rB0BrBmKMjaiA9O8jyyRgOrM4zDBzY8A51KOQCpBLg3US2eqmLy10CcJTeFmNznOSqt2CSSEoEiB
NaU7ZdaQvacu2uNo/B2VRnZxseaDqpPHBDYLXQdYYH6DZSYbtOnoOv619f74WOmBXYGslZV7tcSA
Tc9DduVQHGbAuuBQtO9lnvY7dzFfQW/O9L3n9iAKoHpJ6qjdzJO4yXR69jLDEYceUB+R42bJ8LiM
snu0WloNwsx+eHpSvSZ6Oe1ra21rl/HRXIoUS4BdXXstW3CwOwfAq/OnG4WwgbtDEnNbasbEBIsH
cXteB9DKqXcmhpJQ66KTA1qOSLxgQMjFNoKrXKrij5cwQS6jd0SDBqiSH17VENrh/5JTTseDrJqt
37cz9toF03E63lMyNAujLzeOLrAgpmDScrPd2TK3gnhZfiy4QTdFbN3SllXUpfilYsuj4zGgjUKY
dJpbJKTKxf/cI5g3cb5uqti886NtrRb9Bj+Iv+/TEqJtHF87MIOM05w0MAat3cZmA23dWHUSzw2c
/UM8EfFtg4zx5hutNkR7dbPsTaagg6acM4ZcYrdWZC5LNBn1fru4fMm86cFI8GrOZfMq40cTwU6Q
GUDOCV3y6Kne8+I4iIKJHP838VsZInjxgeGXHD+Qs6A+avuCluzdiZnxtMu11pVHw5aOoekMMEZ4
vp80mbdBi0OZkMpi2cm3bBpG7kVoPrC7BVNHwt7fQ6+LuIMYqFWmcmkPrg0OQ89MJEdT022dttXD
Fv81ksB4J+1+T+37qBHss+gHFePuk8oYudVOP7Ee7xxbHEiQ9gNPl9yzhLxpqvuq/c7cdPSE9jHI
kGH2b+bCz6J6dvxkYaiVeO67ZTjwy5qLy1S+h1yzNYXC0DQmNFAbmDWT92ES+ugR3x3FVLzAgbsw
obcczjXnVhQneydmCG8nJAs35KXv8LWcNM8hQV5DkVD5ph5Eg84WQ4A8CXSxcRw6hGyNa/nbFAXk
OV+/IGuvzgsebZfyjZvQCMqfgvzs2Ak6RLH+sufA7AWjXEnEw6UZmfYSaaGBwSAeKWVMgpyZMcKO
hoXYD2U6nseofgDOV1eu/WIxQZ3yxDzYReJcrV5+zmOn9gin2z1X9x+TL5qzzVtxvmUrxVuv8vak
07/795f1W2dldu18cmNxxg0LSa0lW+u2bloaAq1ZnZj71SfgA3WQCdYGBkD4x0mReUevIDa6SfNf
1BAdUkwCkjsUvzQ3OYpQMGD7GrP+2kTDcEod77u3IyAD6GKJhPuQ2VtpFGcKL/tS+uC5dBjOSZ0S
m0iMw2nmUcAm9oqThJRYjw6hHLjb5nVEuiMRq1y6OgL8QEeNCvkvmiJ1zuKvWFXOYalRWJRe3Oyj
2J6uJdIHRywDXFT/d5QPryPin1NkOzG5mfwqdvjV//02Uij2DNIpwr9v15y78rTg8thzw7uNPKNn
tX7h9S1hPH42kkShmeflygR93tojjc7CkdYJMxENOpwIYTYTAzwASHV9dzzLNg6dhEgQi2sVyjli
juBIwFWpXWg/9ODv+KV2eQ38JV7iJ2vI3jQoD0fag6FmcgVOGMGrmrt5nnT63QEWHtGkC8wlSqgu
/Iig0e7g9klymch3DHBeWSHt8lgzogvS4dW6OV3oqOcnR0rcu3NKJ1dPCFgUV5+69ZIPrn7pTfCH
DdZ3vCHEXbdgJ++djXTLlBzUZbcFoFedydx6MTzCSMpOXibA8mEviuwBsVIUROrVRrb3MGFjMSRg
AeY9UEPWcQbFKonRCyMI2U67MR5341w+TmDwbqVtjRtk2HQt2veucPuAGjMOu5T/2SGPpOxKbefj
xGH2gTvMHisIvpiJXUzLvCP12e6oOAGCwmCA2bQRsuwwC0zP2djPGESZsQ0pxuVUwWuY9JM3yoiy
mxyaeXhAjl1ze7UeHd8oL7z9BPT2OYdl63962pIddMSrR1i4EHEpRD0ixilEz8gdio1CwnSiU9+H
0JlkyFkLfUYR/20hqHV4KoZRU9duxHWNGIGMah/4S+FX0XEwtb2G8StY3DzeOdYr2/dh9DEiOy4h
I6JbJTQuNMjI/Ub+TOwuiuNmkQegHc42q8D28+hRXuLl1DtZHOyq2BJ1Cv9iyp9V3j7UjGAC/Hje
1c717yXhPUs4hp9G0Awind/sXDyijTduhLuSeqhz9s72W99MOHR6rQgjOGH7VIxhUjIPEE0Ol1By
VE85rjXf2xDmJrghpExydaKsK8s6XRcQXqzpTa6d52Lal7WzGXzGVj71kkXAHPd5ZdDHzT9zZvXu
ZOFUsgMN90fn9KeWLlq8VA9t+17j9AHzWpcvvkN+wlSmodU25QOP/6FkzrRn2j0ewFy5R61mChlL
oEFEm7e1AkVQe1lQ6HAsqyo9MOnmrrGM6XEYOOISHhla+MXr2BTmfvKod92E2JmqtrRPs+IPYk5i
Nb11RsLwlwgShKjM47Kl/DWQMk3FdTT5SZ+lBzkbQG5Mo7BrPvGfbSVu4pOD22ezjJ7xZBjRF0nx
9Bbj6AZZqD6YVkJ23og9UsroKUvwM0+En32L5trp/HURs6uHEvbgipTy7/rU1uR3ezXtJ1Qyhh3N
p0XHVIRhXaycKvJCyxIPY9dGe+DIXA9du392UnRFPekJIm2PPXmVD+hxGOSnbvtIByok7f5ocHmj
d4kjwoHve+UX23iujUc7M67VYNjnv9/B0jMeMfhspBaVdyydTFfGK5t8nCx9mHldvqsj2tLZHIPw
no30nGC08FVmHu3Ji04SNMbBi90DAoX42vgWWif/oQCaCa8kKUKFzelKzlxgr7AGYGExz/H0ZhHU
jrymJ5hgZJ+vtPSda/CNlQqsL63+oGdhHpdNCdslQZOaRmY7VBDBmlqWKA54B7vHltzhfWxbOg7U
99Gy5B0KzSvIlnirO1rDdgZvRS+ZzkScQ1vl2Snbj+FCWIyikM9VBXUalTfSyZhqIMDOiuHBZUny
rNuEMFnikjf6zSQ9iYk/VWFOL7nDUE6EWG0emZ29gHYojy45WhROpsbEfUDEuyp5XcqMY34kyWa9
WHvRDRIcjX/m5FhQ0+61MY+MDffpaDwyXyyOq+DQYAwdMjsGr57LlshXxtNRDUvX2FWlaX31xN6s
PeUt2rL2sehz4E/glN5Htpyhsc+JaU8/Rrq1oTczDWBzIUO8Mp45pZ33BF5BCaR9oEp8qJBr8ZRK
42Cbnlpjs40LOSDbqDHHYKobejA9T3tU+cc00alT5aFLixFrQUnebGrPYU0rIfJwtnR8RsCL5AHU
tnNqIqA7sXmpcLi5tJcClXHzUDgrTy6Xk/lAV2G462vMasncG7hDRjUKD9JsjJUpou8WG2KcKK0o
GKziTCJH8kj2OyeC1RyjChKFgw9mO1cAQefoEke+96EMhzt1ivGiMfFOo1wlcUpHFO9jnAz7Csqv
rq3S8kLeaaMgEZrQj6DgBgaGWdV15a2TWrrh8oX+qRk29ITcwwjhba+36Gdmk/tWprgmAPLv2H/1
fj1u/BlT85BtM6eFgjNzFUYy8NiTg/iwFE5yassi0ObROtqzS86bLZxjP315VrIqFGA7+wDGAHGX
LxCE2mPT2r9l2Uy4aOkoYSi2RZ1slLCzY2oDZiX22bqbsGMe+FTMA9eHPVlGOrO24o1G8rzv3eEn
J+VyFxrFP+B8wuyKn2VBkgYwU/pDyvuK/HY4SgUnfcSHL1N3vgmQQmHhYvqrm48+cdURkGeKxAMD
FfIPY6Oa0QwX3Xs1rLg+TPXU3OzIaW7YvMDRlNTMgh29SRAwt1VK79diaG3JxrnOiiTriWPiqciQ
mjdGbN+F3sMN0sdjNY5MfCu6TWwqyFBaoe2TGsKZPo+H2J7HT6GAXwy9QVFuD5spn2DIxswbvNx7
JHuO00p4RETVHSCXjlsNzMhNZy71FZz4U+431Qstu+Y0WhO3CGlUL1XxVpNWs16dytM1SSr54iDo
GNDHbXEVuJCs3Hy35j14DFmOSgfXUuq8BnybH6mXAiQV0x4CEzKZ8K+CNdOmcy06rMOWY4aJK0ai
WblhTos0v+wyeSnj5OdC0hRBFvX0WlreTzkDfnexuzImIQbBHKNwpLewUzF8AL+GHgyhZ542duOg
/VwsbEzaTwCHX87UmI8THKlNpW3toZQPFoIHxIGzd61TlxaPN/xY5N7IVPne1ovcmun4S5Ot2GHT
UHc5enMoPRwpjdbGZPJZ8Uc15MSPiOGl6bt3q4hfHIqjd5Nsn9Aia+SQy/RnI3HdFKMZXyO8agCF
1XhV7Zr/6WAGGWV7gZVUA7f6Yq6mHru8fC4ViY0pl60HP/cf2wyXUjvz9A4pvjmESR5isNPQLKw0
giyvI3vLYyrgOy+iCUdtibGc1sUOtUR1y8i3IXn5Ewm3hRGoX04Q9R+MlGj52pHFDggkY5C2yfeA
jvhVA35sRucg2+jJF1d62zMJqSgomr7FX2E/Q+JB7KoxskvzauOa/UTyvAulprGZOQ7ZxfEJnu8k
1OjFrXYTkgLwFMNvpeb5vpTjxU/9QyIM87rGoRYo2M64x/GlFrDV8n5+Guwt1I6kqrU3emVm0Dm0
OL22+61bpIhWUOgO6Dpg1TuxuxsscjuKPPsFCWykDBrf2goSQeQRXqKlDNkFQCEiI2Z/tzime+3j
Cx6O7kkmyQkmIl5Er5YPDHDiAE0kA64U/YZumN1jTYbcoyvSM1Bq65hixvJ++KpDBr7KONy63ZSA
0je6fhgYdHpmc0WRyDCVQ44lLYdjhF0C8O6DkM50m9cvTAKHXU67h+vHlkSONIy0LjsUTv9a9NZ3
OwhQVfxxaIW4iWOhPWTYIemw/AENMG3KdGgOjV2cZkv/blmc4Wh3R41AcTxnxFyRbNHwCvSiCMEJ
oAJyNtJkI2zdlxr1xx5NgDPW50i8aZ4bn4bc2OIjm3EcRj91DTXpAqco3zpY+8ZsJsknYxN0krwP
i2zuN4LeY60RfWFxaSWvNahznZMSHW5F49H8L+7OY0lyJE3Sr7Ky50WNATAwkdk+OOce7sHjAolI
As4MHE+/H7JTWqq6Z2Z3rnuokkypysgId4cR/VU/lc0iHuMXOw4x+BiSoyD06BrGDiooh26ogbLs
aBiUYGjTvF7rY/sxSCPdokl91sPV0iJ6PekI31iWjccZjCXCF05mLNRevRtKfOFe8uBZKLcBZdbo
i6t+cF8pTGECTiqQkx7EczBpi9oqqQsx9vh9Of9peFHEJ3b6o+EAeirkNqq8grOER7hJXKyoY5au
4N4WXAP21LNaOMXKat3QaeN37k+OLcAJbcwqkP/jutsWsMpqI31JQ2cnkurFsl8tdEMaWtDyIwkm
mR4TxUOlkwIt0kPimPShZ2gIU0p/aVVsgN1DbZ1bAVInr/eDSID7BOg+KmzOTUW6LOD99pQjKULG
uWFoYDqrenqoct7hYHC4UCafDcspoNBBZ0MgrdPw2b0LvdrEwj/L8kPNUdopA96pVdnadHLrmAb9
7KPML7qGZunyKoVW8dKnVJYO+gOQnW5fQYZxUcT8zNF2jDfdEyMSZtRXm4QVY1CdpeBiQdYiXJqA
0vTB/xo72BbcUpBk163DfSCg+AQMEyKkDEmToWsTSSPagAE9wdFSzM4YTQ/p+rGuRq0fjCnc5VZQ
g/kCUtSZEcSChBY2MtdLS3cmfFtMzVO/J3xNjYsVWzQvdhxfyN5vClzd/syizGqMvrQ4OQd2nhcE
FsK7A4CL0Y62Vh1sqH7GkFOH99YnecEkFR6fS5tEM33YLnEhF0+r+cWUYiG9rcKgrvJ2A1viZxW7
O8uITWYbWXr89S/yb2I/cgRC9dBORYiqbHrMFazqblnkgPkJiRlH4cHr4VaS10e41rE1FM1bkgXf
cw7/HJdxwEX0N3iiO0iZqROa5yOlIj2R2TcbaAHnCTz+Welc9Uh8EZCcdn7cvCax7dzmX8S53r4r
45lCh35TOtAa6TT+EZGg3IBTxLxYQzXnUiG3OSIlc66RtgSCOOdMj8/aQFtGF3bOueqNT8W9ZKXr
XbbGdFI9mxkk4KnU0Qy6cm9O6iOVXBQS3ONg7KVY6FlunwOavXg38o039zd6v6oc5zTGCmB8tEwh
dOBAYv1HZEYK8IOAsrfxjOcnOJZzRyQqHj2k87+acktt01s890naLh1I3dwx6f1qm6R2sgk1hAAQ
HwcjB1JIM+XYi4c0D1H/VZWsIaSYT1RQz22W1dxrWfL+sY5GyU9jbr2kagqrjKnOlTcE60DXh30f
5TfRi/oxSrnTli/5pIvv0lzGErdwMVEWQ92bwAHU5TtCGSzIvTud6HHdgTvVd9oP3ErleYibXZiR
EWR/tVa9zjFGxfmIoc9xLj5lppHo5dnHAKtpHizx9thHtYKZwH3UH+a1KvL69cg7c3ErEkSyARwA
e3JJhtV4EsJOSEwvfaOR59RZ6/woGgvn0quoFhmC7pjH9g6UdbjhTl0cyjYEmpZV2imzWIZS4FCY
vWCcR1O8Qu3IntEvx8Bf5yO/NmweEB6ja4c8GM6IsJLHSYuNZm8m5j4ljsE7j3qljVh2owK2MhZ2
f1Vq3o7raPHUyBYDVZfoIKim+KmZK7Zy23jvjeatczFHh3FNJCTtAAnJeFgrlQgYCVq/FXoEEyWa
5mhgQrFDBkIxLcyTApTpRCw0/K93gSXxoQ6775jmtfNb0ZjrigrtiyHwc7SKr8BeL59cgyNdiD3U
ForFqe2fMOu8Wbro1xM9DpvEG/VNBGYsDUtO4k6eHY1hKBeiZ03IpXsNUjUtbG0gGDjEsBlgiTtU
dEhkeiJHbJpslaa5MLnB3LyesBY1bjhuwcDAFIaGl4TtYxTTbjjxiUGvEeBSmwDkgmXeYsMZNyqF
wlz70RzgaK69bnEIKeUbfnXMXVH3mNZO/FzR6DFSxHFED5pLsJS3AnT8FeqDh97TnQ0dORlYkL/S
aLFeaYMLf0uQjdFHuEWdGoi/k6RZkNojJ1xkxhXA4adPJ8OV6oDwogQGnEpr4My7V6MxnLOTrEh2
R7ug0B7aJGn3vRdBimgYrgWjCYylHN09foGlDPq7O0FR0+Fto6HTuYCkDNC8z/ZOxcY/TH13o3/g
kk1dTc5/8J4jDItDSILc1hu68SyzOxNWOue5jmCTs/N482OCcDEs2yaGvzGE8gh7k6lTLZ66RHGG
ydZgBsKjX5s1tnWltA1sOfbZjLNUU3+wBIFVLUFJ1Z0t91oWQSpMyUeqJD+I3BBUfTfFOpcCtMXk
6ccMA+Jem79hFFc8wib35TB1nKOoOsAn3LZrWACTCCTvZ42LxnIfUoH9sBxBeA1EujalqssdEznt
4AqI9F1Yv4IiNX4geM4OXShvpXDQu7KM21YrMRIaxYeZeN/rIpyR2yWe4dKvrtA2H3loRnzvY3+x
q8k9xeCwB5l0ryJNzLUYkXYByKF0WvX4kA7JRgbtbIpN37u0SC6ZpbZGOeDpGpgjmR3jprwwg1eG
KZx9TFBdRhSdXM1fxEZS32sPIQRDcxyv89oSy0lLk+PAqbACnnFShhxPdUsUUgXOORShdSADZx24
/WwLQECHUnhMwDBZL6fxk6E6cqCJaRjlhkuOGMnajcQhI67sZR8/QhOydxktlfDQMXMP7GK8k3N5
iL7Wo9Yi8hjl70zfBxOXXXf1QdxtUOKf8Xxmd9cNt3oXvXPwL7emk1ob0GX5usm7sxOI5D7KMzEC
Z9KvSeu++HrVYlNGHQgng85TkeuXhlGUWfjWqkxUf2z9gVNk6B8Hxt6lByfC7Ib8ahUMM/rWmdGh
8rmMi23mCY3gWc/LVA9H02M8kDFISLteHa00CGBEuAv2JfM5DnLzQgASKwCJ9De/RmEneHJgwTFh
MsSsxxIMVUGQkc7ymMlaufe6aVhDo3WWVd+2lwk20THQvU07EOZIxqxZZWMCNZcGjbVM2xxKHl4A
vU4fJCzz1zR9xZd+iCmHuBuc8hKOf+BBAiipObuB8pGzLIcBCW1yGVUsXrELJ5uPT5ARbaTxNPA0
SDlNnV0Asu1Sfny8Hn5AP1D5ghgG6VfgAB+5Dx6yoLopzeRsjn50L/IgW9IRJrdEza2Nbnr3np9q
l4nQp7mrBKjKQHRBE2Zy0mDcV+hTT75sAkZyOF/BW1FXmNWvjhZdp3Wa9+JKPdm3drbuATn23Cp6
rqYGmNEUoZz155ATwZKqyeJUxOm6qybtGAofPAhYmTEU0ZFn0Alk99DlycawbK7HbqBgPHpbMEvT
ujadFeYfFLpccm5V8xW62DgdVW1CQA/uCcRiz6ZZLwALHKpjhoLoTjivNU/OzeJVhKknJSuf6eSX
gFfUs5k0cKZN1OqvxpDHO9/H1te1+IRyszUWzmBjy440RqZWAZdXPHYlVKU4fCoiEGWJzZbi4yrZ
SZSnhR0LDWxzGfPy+WBMzZ6Oz9egC8OTW+eXIuS82A6NtanNgourmKFrNeZvbOt38FZin5oexAQ+
OMvctd/jCafXaGJ9zxw6ZWs7IfEOnW9tNi6QgM65a5Rb1XGz1C03uKb8saQnkAX3Y5MnQtEThNoX
5SnFfrqxH0j24yuQF5D7SIzMkBZFGn20mufso7gyrxGlsYtQc2gFnSFl9tq0GnfOMo1Ah4voohSc
xz8Z8/4jU9lsGfu71+zvzdEIDZ7QGe2YGPF0KXHb/dnpBi69adNINmtyHh8mB4zUJBQxFTlMCvOC
3+ux0su3vs/3sAP5lMjbNGqfZUpWWbCknzpuEcLr7nrLhIVD0aIvwy8X+Bf+5cvs+KBnjPtynv3k
aoezg3zkf/0TYBT8lx/AFsKVHkcPKQTV3H/+ARK/Nih20KApecWDxpTQ9+3mEAExH8T4EuvxbYC3
8H/x4ulzr/e//LWeMfvwBH8vTRV//WtH4G1GP8mWVd9/kdQgcw6m8skowJe0nl1vrb5918LaP1F3
koOkQXoAKRQ8a9jUMqQHGxxzZDy0TZO/abA+kdsX+GPtzQByBqL0mVgwRNVkenByE1x83Dfr7tgb
nc34H+dOOzPkEbXxf+C94ZJPSbaWWyvCI/HsZIg7bdwwLkxpxAVX45iUEOLwo4gUWFHkfMNvGxCL
dM8+oBE+brs+8A94HXCDsbfT1GOa3cNc7FTonzhiDgMZdzIy+WNmWRcnV28hAS6A9Aeo8vCeFm2W
7TzdeTLi6GfdB9/lYF1i/Ougaj5tkMqRsh4Sv7tBRns2OuOH1OxrWdtPGIBfLJhVo5ft44q/oyJX
No3+kaK4XYORG495fPZNSl4CsQsH/6EccnTR+Dm4kV7GaKcewyx/sEFPTH3yMTJP8mJ7w1jzBj3P
3HekGsokpflcVNWqHFzCyolt7AhQtpsQ2huYOJqdaO4Z36IkxEBE1pCm2nxrYqdaY6WZNQXY/m6s
aWsNS8IxT/DuY0r69Un+t784POu//Tu//8aIVEUB681ff/u37Y9i9tDW/z7/qX/8X3/762/5Q7+/
6Gy9/ctv1r9suLf2hxrvP+o2bX59/d8m3f/X//jbtPs0lph5P79nEAGwhqvoW/NnP69u6y4GWdP8
0/P6r1bgH+lnHnzmn//Jn/ztBtb/MLEjmZ60+XqGMPHb/nYDO38YpuUKrLhkBHT3z25g7w9Pl4bH
8oVwKKTNI1oXbRP+7/+pW3+4JukGT7ouBjXL/m+5gTEl/9PDbnOl0G3DZdzguSZ/518f9ihxo9qM
+wAHlWW+Uapu0ypY1UwMAPfs6ByxHrrQNndtScdyGsf0B4qxFsTbeyu/cmr0OCHEGj15RZOfggY2
VFlOGhQOYmirjLIBfTVbPJpNLSyp0cTiM2GlFTFoyN4pyDqt0dCAjJLpHp1hcvcYFBru/4nh22uJ
2eBSadKF8zRm5jfR+PBPLcBE9cJPkuArKhNagQwb7Ye9FPPk0vcAjTJKrEmzUUQh7kS7BwYKtJC0
K20KxcwWaMT3wUUB4UY3EC7ISGg/S98ilWynVf0YU2W6jyo7hBTcji1PUSlec9CRHJUBpS8shyJe
tBFusL2ddKcmsCtsGTJ/GiGPvYiogVPm5Rwa6FqGUs234/nAsGKpD2u/qUlquGNscHtmvPqdqad5
MrVJ52rfNx4CHdaP14YTLl3XUT08Gvxyns26oAcGKKH+QhbYdRceLiPiXVmRHGSC0QnmWOPtAJz2
4aKsqwRyk+XfATxUN+7FA81eWFAWQzXlp2yS7i3ARPGTjoXqux5M9nlwGDYu/GbCQ+MMxgZiEecV
KtdX3qTsncNt6QXgCL6MpIw2sif2wO6VH2gHg5wRjOrqaUTegZRz+PISagMwfe7ISogjURl/b2h1
tcmmhAjiNE0Hoq3+Q4E74AxzZ84ml0zfukyDctk4mB90wiEqpljHKgfYkpXroKy1w97wVPlcclbf
4JYvsmVLr/LSLj2O0R62i9kk/aKrEaWCW2AP1MzXMXVMZOU3MORo5au4lpO4lmRBEm3IX/vJi65o
qeXNiQ1VEfUZ6fCprOpghLX3oguv/pQIVQkjWN0kKZfZ2GntpuvXZjBO51qrNOJmGgYA7HU7vWm6
B9AH0OMyM1dL3PgRYAWzpLOOU9BLHrvyYmWuuQMG2j2xv2dHS6MexXf66Kfo4G/28Gi6hefkDGFS
4JD007nek5MjZMZNJLDwBlFwdkSecdztmY3IKATrTvV8a5kQJAFlWp/lUAXGamyC6D64LuK7jsNt
K2TXvGJxii+treuHUeTWRWACeDXocdtDioWwNNBwvKtpMFvXXRNS8VZa3RMHIOO5zZx+h+V+/KJO
035NaeNIdmijzVcqBixvU9hAk4l8lauFZXKtzUcj/DSlh/2GV2i0Fz4qF9S0OttEXahwQcVwAHBp
xRWMlQwfPYIH90A/pAYjya9hEptPXWYEB19ZBtSKvtuNNYr8ImwhEUCgl8zese/S4UcqhldqrGn/
IoQY4xxhdsitqzn3ehl/2CODmiXcgp7qGr9rz7KrKsCFuiSOl+oJ7GqHDk+MfKW+a3NMz0kfiqPu
0nCycAkREvjUdP0JS6ZbrrNqrmWzYg2kS5Pd6EMB0c9rzcLYYK5fa2Icfpox3RqL2GqZoVqkEDYJ
SnBNPGCA29BoMx7O5cHdczFItlHWgwDk+Z+jUiAz41VpstaEXoO1xdWzWzdF2KMIYNoHgZBxqHLp
/CTNBRQi4myG37AqSQQXmOVV01HarJn4+3SasXnmKUkBJjIlR81OdXNdWG2/ruGwQpXSoD2PtcNQ
PyeDMAUZT6AKK0oOasgnvk4xYDX6MPCFHZSUaMDTXzepNgKryIKfnS3yuzYB3SD5OrvCW7x5htmZ
a5h3HTyHRkeXiVzKU+N5qm4MbvZTpQVeqwrwM4qZig8mYXjuMW6DdVdZCNh4RykCb3mxitAVaG3K
g/jVmDajnTRPDv40lUeEUIk6V5WPHcoc6Mm0UzPvjaP8Oud2WCxg0WY/0SkZIIV8bF4krV1nNxmr
r8KR9KS4GbDfgnoThmixd2P3Np1dGvble99oToq22gH6jxxJlwR+T2BcTdBF61x0BbQXTcf0yM0D
HwlGXqJxQYlVkZ07oW7NzqgVc+itShZaK91jNFn+94IntaM8tjPuNf5Fewn9YIiXWKeJuQZuF7wO
YxIc7aQd3sI6j5+FPtIQWiScg9VA10wHY4hI81Tv+9hg7KAFFVdSJ2XE3iCjA0+30vUEU/PTcRPr
i8fK+RHFLlzvyi2uccNkBKGU5HdrQdlHl6PF0GEWsKg5w7BDub39oxrhFmShFR7dFHT5Lm0Ctetz
jyhAV6qShE3e4ZSSMn9Q6dhv+UoRtfFs9y6RANARRvxFNh9beGlPLEZmHwP+MUwqFEOJAdXg3jtX
5Hz1fpG8xGb3HJhDprE90UHFEsI8kF54L38dp/p58HugZxHzDFm4Yi+NUTJBC0NFk0dumTDe4vyt
a+z0Oc679Kvuk/psUZe090ZiSsBx61vWYahYdLEvBnItA02S8KZoAUkG5W9GFrtd4UuiylYzni2r
ovh9LBxEQ6PUp3OCmPTNGSP/lmPpGAkck6ygJkmdameUT2UY6Xvfa+PPLLbfMfSZLKQzSCCv6/Te
O7V/y1ojebHm0WweyfBgAqlZGPVQH0pS7gs7H6netttuACAx+TeOC+4pE/Dou1BLOBGoiF23w8ZQ
lqE6cSTMbqFl9GAbCmY6Cw2+g4GLuZHvOQ/ZBtOl+4m0JXsivXn0rhHlgjYM1YGqo87bOXmcrgIZ
t5dG6i5ls3Qq1xqGjH2sIwIsQSDKvRnoaQV/Q+8PnuMLUHuFRM7XSA9ZTWBsFFjg08Bgzlznmpcf
zCEZX7K6l98kd7mnJg7qu8aEnJ4xf/pepAJl1+8q/USfLb9kFquebWC1WEtL6Hs0A8gD1TKYJaap
eAvzyPrwKGE98BLQ0df7cuPqTYkcEnnw41JT3WpuILfASGfQi93is0qCN2mLekvzkbNWQVCcUgsb
h67xOdiIOqc7CoNKRlVZNayAQxtbEAX5m1646s3A44D4p9p9o6oQY5qXHWquVGuImUxTRJ+qb5o3
meFKRimF4J2bb3M/ZoEsWNPzCXQUvDb7HNMjxGtnuNcwig26sEoqWYpCPQtVVZc20bs9r7T+wTBZ
2zXwjDBsQy/qqjL9jF1Ynl6sO/ewdetwIUHZrNCELcpIY6xRFqb/1qUcgh2zbm9jaUQAk0Sln2On
1xa5U2gfngGZwWlsm0dyJOsUeWkJL3/I8i+7cfUHRWoGaIVBF2LgR8O2gHIAUoKd+zhB4QnI0LVy
X9aYw7C7FY8dd4fnKXHbG6Sp6mxUk7FECHTOptFOL5rBBM4ue2+LfzE+N5MbUi7bRjv8+MEmjBiK
0z5jMpulkAuPTvNewQ3+nDqILfo4DVe/1ATQjMJheyE2jguRcQ1HEQqL7EACH2LOSMilPNEpZ3zU
mek/q2ymPwgOC3h9qZKIwgx3wkD1Ig0k1gCTU9eGU5UzN0AAyLytQ3/RoQbwex+Hwt34Kna/CW9E
jPJr9mDge86HZ88mak24yUsZpjpUpdG7NP2UvrmJGK8I4zqqgXDf7TxkNbeSXKdFybJ+WkoVr/hX
NJJCMQWsfiO+DVqukz+oWSq8zFOfwehH29QguBiEHENHPxtOru4PnJoq9SQSo/hMnRLqIdmnVSwa
+SDsCrevQNlClJpc75nOSYLTdYfR07I1Y60ZgitFyp57JxkZ7Z3a+ImxxjtQGzLrMUDe9z3+P3ql
zOhFRZBSlahbrF2FLDegbMznFBBAB4Fbb56KMTGenXiM7iFxG0ryWEX2RZj3sI8AGj4kTlNeq9GK
iTUHxbhTscGsvaL/6x4UFek9iiKmYwq8Y9uUvnVvSVp9BTbIfS8zg10MQ3GunndPRoAzu8LH8WwL
rVg0QNOXcCq6Z+ZQGpREe2YfTF287xkIUpXqZ/t8mlhn4069qcQUj57hy1tr9M4GT6H5opS08Ibp
7cUtgOgORE83kd8z7Qt+cDOyMPaXIiDo0RsYAPRsouN6TPIHtGL6eUSSWg91Qb4PQd7AgNBl3WPF
/LdYCkT7N8Yq7JVG7PEwmm0ev7ZWKCcMJkRYYmJ5G5N6Enz3vkYOEujNDZNs8DDSAfZcJ+7swGV6
V2T2uBHlVG77Kk4fqKWj89bVP3rPkSu9o7zaqkZufHFTo9MYoyJh6U/9WecpXlkiDq/CMeO9Exot
XpY+sd+nmcht1QLWq7D9Cy1lTLBYIcgLVZbDcCtz26MVUokDpqPHYumUTjZ/UvkYOlZB/RBb27Ar
yINwMJHYdQbC9CQpwHJ+6H7lE1otSwefqwPKvdbs4bGkI/HLyWx/Y09t9P7/tTJkSlsi0/7bn7Wn
35rS3wPizw347P/xoD6//6jDPytDv//kb1VI/sHF30DbtW3bY11GdvmHKjQrQrrlSSRY0vcINr8z
4qb4Q+oWWo1ESDLmKPg/VCHD/MOVKMSeiTCkS2Eb/52MuPnPohBmF4tjq7BtQWeP/uu/f/u8R3lA
eFv/X3Muw1at1THps0cgG9mJOfGirV/mWXs+bFMnuHb9j1YmPxkl37rUe5r/8Uf9UPaQJhJnP2vk
Yak9RIN1xudHWy1JGzCuY3AdpbwyWUmfGc1d9GQXJdUZThTTytZeWlR9fgKnL+fYeb3501vxH4wE
LJSTf9K7dKwrXGxdy+GltRkR/FXvapl0EHTqui1/67SSRn3oy6jH/5vrCwiGq8wcrj12ok3dWjc0
lS0Q5fhoCY46umt81x0iSMB2yIU25Uc7hvomBSl91Ks3MonlSVBrGQj5oKpaHtucbueE40auZY8J
BfXkf8cDGz/FJjVzH76gXHYSgG7rgFyXjBgcRKfbmAbx0RmrCiCkSPbYafsFt8P6QfXhj8KvL0K3
9PNYErn1LWoNEy86RrJY+3IsTmGJpcnwygPJ2OExHJPxiq0W+Sj110M8l8hQtHZA9yJrWObNhoAC
eLyGpWSSFAw71iemuHSXinDfw8U6dbZzdkmevReg0EFqJlNXvPm5sXKL0HzH1LTRMpAm3EVbpJcS
ppirols4wlcKmN4CC4zwcBmmsR1I1B+pu4PDH3rOoi7GlyDUHyq7gLdUht21n9VAluAjDDt7N/V0
L4sGyp3wQa7K9F5G5s4irErk2RPn1FwJppGrBu/SKiRvu6IW1OaOEYtDaSksVLp8tIYfvacuthZO
i0yZyWrMbIM2qETj5s0FLR3ghmAtiQ4lZT+oO0+uU0c77FWkOOuo3RR1YizbEM2q05PnxnYxhqXV
MzEqbyFHNlk59DShUtW6G+1XIfa9RkDVDTpjG7cG7U1djj5JoXW7yssq3xNr1VfcmTHViOmr4Alc
9GLcsOrjYihp86DPoYoa0DYYd0QVXcwhWBpWxvxTPOFzWWAlFXM3FQUmZ00Q6/LiIVnEDCGtedgf
N/IZv7QBdtr8SiJSbHLqiX2702FU9kuq14AHRHTH48OAr3LVyVcp3vDeAAjRxStDBShccZ8/VRBn
RlmrY2D4H2wJ6kTSBjKVG1hHe7DiS9b3H2nj+1TnVFeSo1vFBGEZK2zQdrg3yAW0XYrDF2LJInH9
BKjVdKMJAYRteGKEzH2+zG6S03OsUYOWINAVcfKM/PwQxd0VGZFmN9fB8m9vDG4lCnsCbCEgbJMB
mCdc9rz/C8A9NJCRpmgxnXuwp5cu6sUSxisnkG+aQyJDhO4LY+58AfIcDEoHxciiVmxce1Xirwom
SUVSvNsRwFqvTvckWZZ45jkOJ5EGBnSu7TQRRbDtA7jkyGGjqGCOI5SjzXan4VTY6gJraMcIYA3J
nriDqba1PiyVf03H+FIqdcJhdK6NO1Dzb6YOfcBW9dKeprMmu3UVO9uo9XcxAIU6LMiQkMfCoGEH
iziJaBFOfpm/yQoOp6luL8onPjRynQ36+AsaJ9nCuGOKyQzVWnmoikS+6mMR4M8KsF3y/a7g49sU
TWtJ/NEGtU7fVrVSOj1cRp4i+mbylYjie1LP8DLN/sVYoCy8PsjSBywx3TXtyJlBLemTgs6F2Rql
zMjdV95PFj+D2JhDLq23DFxO0bYLg6coErwxoBsKCE0b4leYr0929RJlzQvDq7U+9zJWTbDn+zyI
CgUP+DbTgHxXqOSglWhzk1JnK8RrJ1L73DDup3SNaWQ2XXBViKHfG5LwvQHz08rLB8cUu7y+EgA2
F44xcsiSFquRf+QjRnK1t72FpZFQzls2MxAkgCeoU0XBOKtJbQu+/CiNk41lVEkYHHQmAV5bjsLB
HoCJeYTM3OIl31jS/UhAguLE/VBR+AKn9+p73s9x9H5wTYQRGZr7MgpPkW+SXG0JhU/XsE7fgWi4
6rWgAmZpdgWJ9AhMlxe3ZyGabShS4srgDdEetUs88j1mCWDgKCy56MnoSxhvg3LetCGjiko+OAG9
4DrlmwgAALYmsn2u6V1Flz9yQqbmxwDf5kPNU7Xx3e0GFrzoFaGxBcCOsdjzgVeZlOwsyWLJbYFT
4VHUNAR0DopYGHuLTNfi9ZSHP6ZCl1i8l04cAiKl6aanSmDVah09hiRarUq7tVPzLWuEAxLUfBeF
+hgq5QBV1sS6g2fSKpYXAyrTwvUmDJLcSYDldge7N2aGa+tuWxq0FygZFc5wLBuT55twBrLNmIMB
AK95p+pLhx8o1xAh+mWIp30m4p2Txl9hj4a/UQ+3MedOXquCPGGdgB5PyOdNVbuxagZAecrmjidH
1DOrg2hs9a2e/bwMkOxtVwEVMylLBnHF6NiyvEfaCwVBCNzZmODCutnanJ2F3lkHTVMwB1S/dtga
WHAgbQWqXBcuSoo3XuFO0YvYvfNDEr/zErnBUQTXRserKczka0DMpRrEfR11JhLwuhdd3r5hy7KW
ylEXzfYPsJ7LLwu7WqrOkGaiBd4CMr9N/DHYmI7pxlhw8WvWdCbsw6zGCqysm0wR8CRRokVdKh6Z
1qIQk9HR6de/XGQRGq7iLaOkvU0iHP4j3wdECSZVKk3QWbndSDqmSe2ZNHJEeC6bGvAN/BdLgiuA
XFFvuF0wxlZM5Ot6UMs0nT9gYE86mDFukH8zgphVmMa4fJDZIgQxjTRC6tShBFpXvL2eZW75kRa6
RoGe7eA/YS3MW48vWq3qVlIPFCKoJr33InxuaemAKdfAG5+kF5uw5kYyaGHgR/8uwz2LbkhxpWA8
JyinvRbc4/qwSu/MIT81reQsZh+kntebEVzKsnZwriaKThJH4nSiTzZpteJEc0C7tFIzPelGkqyC
odQBQmQa3UD+reiiuUGeiBpU0HrZZt2jNbrw9dtN32B3sguSaoCNfoY9sz3dBePRATdDnS4980mB
v8HlMuUrhu5zT66PW/Yz9dhxp7LfZROGFOYwszcoO4+gabagdu4wXt6McYxZg3qGrkGGCXhcu30+
UVWEXZdOYA5vvex29FtBb/fa5y7WufZKLtgldoKKDpxOUyvbhPvWNMewzJdR2TnroJ/MVS+6m20W
7UYM0uPsF79E/T4WBSb9DMUcw7/Rcv52EyJ5dtGCvFXhVqlmWZa0oWlZsezM8eB3qb+3TW0z9uiy
fYRObWs+j261dq0S2zCbTBKP30pEKx7DJN0EpKDruX6w7B/T0Xd4GgJK4elbZQ2oQC3xkttDMlMp
tYyU9Eeccm7F/U+hZ/+FnE0lqGdTL+uyOcJzNx7xgd1c2Z3JviW3TuvMSxBMz3oP/Kf18PRYxML3
ZWqUm3SUmxTBSCXkCOjfu9ileW6YMNNfxpkGUEPnpPUytK3d5APoyCDjZLgKV7HFndq3jK3bc0sg
cdhOPf2/uvPVhByeckec2oLAd5w05xHu3UnmmnH1jJ0r+/BqZTU/CcTeXUTsTtILsQ07GzxVj2EZ
66qxHVHCNrVOel/0BhRpd3LnoL7Ao5LG1xCezDEpaGNpulePgcEiwn1F9g1WOilKxu7KWg+Rg5Ko
gicTp2ZbRrteye4ujACFJmSHKVuFHN5gIiMEFmKcMbpjXL5njs04MHCqi0lEYwPEPbhlsQOqMO6y
LQw9+xAPxo9ShSfkP3fVwjy74Ppy5xSPgZikhvOQh8N54hvbZf+HqDNpjhNZo+gvIoJkZltQc5Wk
0ixtCMmSmIeEZPz1fXibt2h3RNttyyXI/IZ7z/WGz3RGq7/5/09oOicQNLqjmLFEepzSS1nvWFFo
jyaLDBwktdo4vlzOOfRe5L2YPDMhKjxshH4S293li/3MgYjcBvklo4zoJlkuPjIBTkJUmSRz1urU
eyzRNnn3IC203ehCKe+aJcxEM30QenoahPuJEKE8lro0L4b/aLZFcjeNl2lox3AowPAiX+JFVCOb
6eSREv0LI9q3AQ+D7K+WsbP3jXKX7TayiI6hz6Sj2+zc3zidKWHQz019zLGcnO3ejQK/4ENUWXmc
cVOjRwCCZQiiKMxPSF+3dqnw6QAvCyz0Uoagk141oqmDaZhUN2VUl1nImtRYHfBCfcdQbdziIoX6
KAoIF/FL8tFdo/GAd2aLioU08/m+B4Ogae8VhttDaZlaMMzd84RjxooINydBYuWHiRABaOBgXZYV
Soe4iog4qJPDSOrYhu0SG9oMYLx5WEwXsHmb/SML4X4yscHjYA/hW+R0MuWJODbizxLrzdbIL/P0
DzvWrkmq/Idu3UAPEYCtCveX7MT9CEVuE0t2XJIq7KhGklUAVHdtkz5lI84deC0+wfOou80OCe4A
uuVuZZmuaYdbkpdsZg7lY4bN9jrEOl0jOnk47QuFq1Uxx/aXP7Op431BKmdQChNzs55/V/2bzBJA
6esYVkgNYezGa2S5912MTVwTiEBlj/MI5QLyVbIMe37N0N/znI7gorfYlaijuByIXkfnJfXpwo01
MIsVBAgWE8EGGXCKGKP3EwNKZ2dmvRkafWY9xC6MxzRK74D1vLA1TvoAxA7f+gc04/EhH0h0naHF
nHznQ+iGNYK2wZVlZqje0L6YB7fGc0MaCh8ciFBM4eNKGeqSq1tBWG1Z3h+yegmWZeuUg0+QV34v
tGSrZ6rcc9Jjvx6cffY7IjHNqukcJWxOOihhoaOIpY41oO5yCF14ebltLgSNGIelX34XXb1g/PnS
3XnTe9+48/4hwSDhvVdPZkltsVSa2BS1d0p9RgxESkf0Ddmdx0KJ5chFEsqaeckz0h6yBA11s/3x
bvAKzElx1O5jQ0OF0Tq32SZajkFvMDd0SM3Y3paW/QuOJxhlczEERHIxeI3y8o7kRb7qaK7x8yFv
kXt0fqQmJkUbzr6p9tL/7RsjudZFzWoPulgADwV3C/x91PpgPvDkcZIrFn4lTE/MXrDcglLVDLeH
XP2jtwMvZ6h5xx8Xb/rM8PdTTeGSpXD8HWN6q2G3nWJcdmoIrQH1DH5oqOYGB47Xd0Glxv6kIT45
y8aOkRdFDWR/0jwzorT6srKvnodFsUWy04r8G3bAMTOsQ5nPNiJ4673UcvK6wZa2k3GsJf5vRGT3
lryk89Tuoxpt0oA/d1gOPgz5NYnk3gdoGsA23MlRvvWae/K7tdKa9SvhBaCHIvWuWCPgbyE7gA31
a+T/SXh5aINgc2tOHnQpQfK2dDBYz09zNKcBaBMiOxw73zBhCAdeb4MJGtNymYeWAoLdLud2HmgR
8yvYg11fckkjLww9LMU8IFHox9XV0lqk6DENnTOxwueNjoldmLWJdZT3TLRgf8mgTsUJnNMUn+6G
NELtItynjARnVpj0P7QmF8paURpbFwZ+oNUPsYdCE2H9Lsrb9p6g+xXTm1Wsw4FYW0m6i2OoWm6c
YeKv6TdcC4wXROcbtRVykKYAXr8soT8S1+Jq3VXMpDgJeJ8EpzygjTPR+RYe0wduX31N/1M1U3PS
L6J7FxoLgR+PMm7ETRYO5VZUPyZTiRim/DdRvRGgpnmhsJbnRentrlWjeJeu89FoKFYI/QE/7ifI
YgqW31Ue8IGLg87jSXZssWxlrh+rbtrESnrguZKKlKf2uD7qOJizA7G/BWMg1ru+K7Jz5S4gXUb5
1Ln9H9UySY2xbJ8i7D1ORcqBKazqznZOXInuWWu8V3ucoei29WNXYYjwXYrOGmFvuAz+jVcj2TJj
Xs6d6MyjJOvEab0re0qeVCLGFm2KgryJYnicG2HWLyVmJGjRBApqLlb2aHWZWbnPLVL2+2r8462H
oSnNiOWy3BTGcofCcTx7s0vsLGQrky2y1BlQuFX+g4Csg+Qyf+m9rr/kjlYj7epoBGS23OGCILu6
xaaUtI4FKEH/KhKlLkikD9zp8ihhDCKL0bUjY5uHPI3m+9h6K/wcflQj6CJGQgWIYp8PqIVBTeqt
em9N+UiJ8tB2/nSAuYVYd1xWGlM3sAAhwyVu84PpZ3fFRFYpNjMTLyLBDvi3QPT3Vy9Nn8YxveAW
rDYV7nbE7MQza22eIRN6LrOHpCtBp6TtU11PVyyjxT5Llp0NIo4ZyoBOfqleoGMn2yVF4DP0hBUj
6f5ljrhtJx+2ec4936H9HWdEVJt0yx9HJYOgK8gNwzxWBRX4kk8wTxvsuwwQATv4W6iy9g4KxEJW
rPEqEmunM/LaOigpGPEl3Iade58TJQrOoZ4ZWzULHG+kaRp2LSaCzzEj7aAuBfo/UQdQfHajRPc8
dg1TFLCH+xQ4WeyXFzhV57oXa+BIIUOd2R6+wfh1bqGLF2QxQYlAT4HCB0b+qSZm+Oz78jrk7rvf
9fvUMvib44aKq3sVN+dW9I+CQjCn7ZpY0vnFYRJGH/TyIeZi6bRhpy06Mh0c/5blc3BLyLNx+Q9w
3EmzW+ROWHfIeECeXefnee4e2+HB63kt+F+oWMpfCiRAsv6qv05xpnJZMVbVTb4pZBkWtXpgh54G
FnmPeZo/00eDuo+oDur2mnK310h4QuT+oOprGS42S8Qmcvb8tBs4zL6DwT44efXByxlqTNH2KbZL
zcAc3+YXh4MdZdC91blFQNE8I2PPMcmZkHImh3Pa96KdQb+X8SmmdkmIBvMe/5jrxMmYExfSuhKY
3P6Fz/ieltbjN6BkNmaUL6PmXWeWDRMCFBOHTg22AVQTdn6czGwCqlf2qs+iFmLjqrNRNohOfKLR
fEWdh/3X1bWfrLd/nbbFz6U4gz4sjyM478b3ztH3KJVIsHR6jPut9T0ar52DyGXg81mAds3skJNn
VbiIeYFH22oNEyitK3CAYrMHBjWhfUi8/tGY9gLUeGypdpuXHjocWKprWgY7LiZxTD7/On1uGfK6
RDu8WmJ4l773NjTO2TQJZXLpCAOp9Bun23NXqL2y0HyB2XGACFPQop9P1yBi7hO68yKhgeDWlaL+
iRaPGKDROClKxm0K/ySnQO3hnFcj7vHszq+r9mABISl0/S5K0lcpGf567LU2qz5iC8NjY+mM+Idi
eiJM7V/WCDoe/6JU84ZiiVFnfXFb/9wb7S8Sgx/LG6qwls0NV9+bmyBPlMODloy/UsJzS52/geQ3
4Dc0n9WlWbxqt5DUadPN7XkKmZ9UW5prcK0+cj49Ge/tombKOfWHQqtf9djm4dO0lGKlcNZ0e9z2
CBfsyAhLfXlskUKfo3ZVasZuoOVOCtadsIZ6AXUZ9cyDTVu893n0Wyisr509+DtRk1dOS76plWp3
OkVpTTzQIXdhonY9so3qCgXHPZtysGA+tmfN/ehUP55bVxwYssgQaRCiDSQTW1KSP3tM2ejHMlLG
jO3UqAn0x3pMNlDmMk1u504zjlEyM9RIgVjO6i3VBVV50dmhkZHXxmO60EGu7cp7r1oynRwcuDnE
oy0W7GHnedBLIuVlWKOAHlmJ9piVUJKq/K1WjFbFXJbbib5DQPc7JQBCEATiHo57PWAW1gRjpkhu
LSk5DBfcl0+ZpfWxdWoaYkBET/zZaHNkuF2OU1PjraoLwGUR2kDwpTsE5P1pXJajXEPc83GerhgE
w6mrz6bWlR9VvjzN/nMGSmFfAWBm4jOonWZpkqhyIm7RYmMI/tIEsNXEAeDY46PeCHfE0l68+8QZ
RanYxs0YoQrPf03bPquSxtB+myWh2RFtNSv/6dzX4tUiwDloa15IlC2HyQ+Zf4A4Is95Ea0K52hs
Alcv/VCs/BdGO0DkLPPQgGRkL+SseVj2Zx1zy7T1+DUyE0YNyVUzkf0n4KTM47eBdaZ15u9qWoa9
peUnA+lJAJyE7iFaSC/QrF978A4xLq4Z6guKKszFswtl13QNWrjmCSrYT90ZXNG1fp9MFkXWhKIN
w6PYNc16nFZE0VQGk5FEgWhalfYe5L5XwGJ/Qzmdaeuda4Uz0pktpoY50Pto4AttKACwP0Ju8pDT
HGPYrERNZA9enX65ZbnvG1ORL0QHnhjp06IMfc+SVZ5GxoP26IHPyQkYElp0MYb62WkjHU2RR/RT
JzYOuDgGmFERQit6h2JGmopFBFbUzr/cEHcMkkqeJNisSw+TmnlhWlMsCG1kvsjTGeDJQRTXY6Ox
ymyvxY13WnQGn6nmbXXA0GHntvpegpQkeUqm+zLr7lXem3sjDnO9aO7GuP2OjQTSsJncq/Enc3Lv
NR9vjFH1kRE1g7URru9ydFL3guazOjnmJE5SWl8Fm51NRvFxQAt1SuXYPFh69pdE4r0qSIugIxNs
famAdLI9VG7mu380C/KifObHDXl3ZZ5w4c8cU0pMh1ZWJ+gZyxGZvnXqXMQiVtXdmc7Q7yQO+YQ6
f3JXEAHHsMvC+YPS2zkVcyefh8GllyoqLu3JW2N4Wj6bqLsWVTxcO/r8YBlKKK/EAsJhVOA+0sO8
VMVTVKN9d8yh304JuBPcCvsh1wmGSrw/R3HyGt6rT5zusadwPPZN+0DD+ZDDmcB0MpEi5YUNkxLU
iPcGm54H16WDkT2rPF6WgoKV8BxSYP75fZOdy9pvdoPmn1yqPIZr6jGPJug1mkm94Gx7tpa2p/4h
vHbOSzTUeKnAXYrI0oEhCuIsQB3WUU5AyQTVfF6SV7upje1czj9VxiIQn8Z4amitKbgShFB18mTK
kV/OxRJAHf7VE1YVjmE6EARpAmzql4i5VOBZLO/sNqNckNs6E/A4yL1Hi5hAdeM9DuAxswRe92FS
LRxUVTWc0naC5oWWgtowX25eNVLaKzsoUga3KkvzbadX876q2Z7HpAGTxMiKjpmRUmW0gUNq4lEh
l7506y3SCqCObttirEZXXlmdzRNl5TsnAlMOHcfijYVgC9DNvJoxabfCrpdtoyg3E/2O5Oz0QCvG
NNP007DHRbEty+cCxENWxOoS+SSqtQgSNjlrwWGiNq3y4eZnpSLQB8xq6+LpL2v92Lclag3EYnVi
iJeV5Byhe3en3r5DOHYb6oGNttBfiQD396sj03OLEYE4YulcqqAs2vdsaa4dOsoX2KIbuEv9U5tm
pBwUiq0KStdE67XXrKIKV6CgAsVN+e7U2OMhV90EUo69plny0TFi7wyj4aUmMbkqlrfIrS6uBzF4
an4K7FKFbt/moQ/dPmJ2ad/ZlAiBbpk3/n3VSTdJZpB2qC3AR7deWONX1A0+9BpyVAgjZTP50aMt
/YeRMLDBeteyeY+KF7SJL98tS62pSd5PUgLbqZzx1ELZ2Ay2e/Q42TfkZD5nefeepj9RX3+l8V9M
csB+9Y1arXunzfM7qaLA1VaoHjoNvvlvhu0/Zr6Vc4ZjAE5pMk1x8wZxQv9/1mFWAs2AVkju4DlF
hZ+Y6Z+3NO8+W3A6nL92Sf5MDpiIXe4aEvjRdZTFLmBJZ/+X6oxsbX61nupemLX6n8imoz7l4NPn
Lx/YWm7CeoZtekcD9Dzq8tL6xtFIi0unpqfpswNFyM29ILoGrdg45NPD2amLD7DWNQw7fByJx33C
f/W79J/ljQ+Yi1C9opgYvCOV8rwdI39nzRVpD2hrV2h5e0V3nDzA54WvAnWzN77Z8l7ZQlivhH//
4ZehssmojYAZoJzG57wakO5SICcMveb9SIY7UgvdekKdfC0MO/sc6IuDKIqdUJcWXXLltveoqcUF
mhxgeofEKxq0Hf1wd8+EQvmzywDXW87QnY5Air+zPJOvRG08jMuH3aHoXzIo8H2K3qEZUc9O5O31
jpU+NZaI2PrBzi4MzPvSagqIRmN1iH3xrRfFjPQ5z+66eLi4zJYuhgC0Yrvds+Dk2QhsQoHCUhZm
kzS3S93S5sFUNLRcC/Ne6VvbptJxYu8rNhotiIVzmhxW77lFng9a+tCc8Et4BaGq8OZQQhNEf0oG
lj5I1fcSQ71qGUDmVnNQiAj2ImLxPtdTc3KSoURi6d0voxXve2fE4L/KPiWGAYM1asxkJGwdbzkU
tbwDKNqwdKQKbeZu10XGdNLVJ7rXf20CMwckSnauB8kkKI1Ci8Hh45BZr/F4dfseriP8+T24Ehab
TXIs3Y4vi/Ob4FybCF0o5Dyu+hWITrQVsTxJNwk0WoovKUCXEbXhAhHbk2CQMAVeKPVKFj5WOToE
kNKZyoK9W8nJFTiufVWwMZ9tYgIKkGUHB5hFnE3pu9P8MabFyZfoSGoAyGzg4rMAWruUMX5PSxEf
YmDBrFLsey/jGMngLFc9fTKAYwgs04cRTWiEZi85EyXZ7TTj4q9Kl2lJl4e00Z+4axDQVJq2x96R
bZyydY8jDr6wX2CAsXHfI1UVpx4Lyi5yrAckF+o8zFa7k1N6kBWjel8A10ho5I7G0kjGalg8caFy
2LeiDA00v6yi/OgOnYK4TnCHSA/FEbd8YGGgjhCeIoR7qo6TQS+Il4epJ6UKKRbzxUg8tsmz6b56
EcvZBEhg0PJmkXmsf05wHvJ+WH5hxt3UkJ9ytg+XntTT584jNC5t3XzvpKyKsr4JZTIjI0mh9402
UIPY+e5H/v+2XYs1kJn/+2FxJtaNMA1n78VPikcKP2Yf3nwYkcoFrK9eRkiw6L2Lk+i9cO4pyCiX
7awgGVnGhCDGPiGwi3uPdQwtbU0dEk0USjk4rJxh3NBr0wfTBPoNfkPfXX1wtt8/zdK+EFsGm5yf
d1alxGz9wfsLXKNFgCE+o8l0XkfHZCdoHjWbgBnHT365YM0eFUIr3T+oI0WQkem1Ye+LjxiGsY90
aKh/MJEwspE+7z1MsMHDYefnT7WbMlRbjhFyG3LOTHGwo5G0taS9caN1V9wu9MJIqo4sWK8Da8YT
1KX3srEWBlYICl2veW4sQu4lDi+mK1rGqfAbm/KoVQ7QrISS28DEmGuecZ9o6dkokEf0qZq29TSb
+9y4WIP3q7FKbbUBtxqNKMqA5LbSlFheokHKIKzVRvkNeO426dmwmRmXXabiZBN841WZTfTkcBua
7ozM/d0YpjIoq+TAE+NhblQjCDaMV61t3UbPP1mUmGxGos1odXXYFPj41Bxj/lE+qaArUXomxk+w
Q+RCwEIkWEOhV3Php25JHYvXta8KNLe8t6E/7pPMZfEwn7gEagx2yW+VqH0Dype0FB4hdiY6CxwS
REg7z7+7Aj+xtcDuWBptApAGdIf1Ja2SQ1Sd1oOK03UYqYyMaVRysig0GgcsrQE5Xumub4Z7vSN3
L83adNeMvEP4v74m+KOyeUsaAwWjbcKrscgOYuLOFe9bQduanDwk0uPnysOCLzso7Oq2FN4/mQ2v
GKRxSS97ttf+fhk5X3j8KAFmRBStGD4lKbpbINL0zwaL9rhCwAUQdqMZpBOkrbz5JWB4y43ZhizW
n5kwEUTISH2IxXHbU2ONFczq9H1IyksrzpOUT804L5SOjB4yWsKy11DhFw8arF3YMT09seAJ2lia
+HL1+s1svoqa99Ups11rFoSLSexw5sjSanjHCEh+a4aEQm+cXQLI31Dxh7iOaCWjBkB7I6qnEavT
ZqhNtJYK3sgsnmwdk09pYQBv/jCHkltOtPyW3d2tRcm4EQQob1ObmyUlNNfI3adGzz5U5ucBcD4y
30Eet39qbP4iFxzrhKZDzWYdCgSd+36yXsfOXja+0TdbnUFQOVM0V6bZwHDXd7ggSZxXGAlT55OF
3J/JYmKTZewYYtf9jt2STZl+VywDCQUWAL9eA3TGppmRBQ3Dsjy1GZOXgQhMli3fS8JsQyYdNT47
ucphgavFVFqyGcXW0P1zl4l/2uK/d/S7y2oY92PElUOfPxa29V7rzAL7GinGfPET/QmOn8NQ0l/2
MtHejDl7BgimTIM/2R0R8jrx19jw1vTDfHTy57ye3pHXGjuetzCPFCNFjBa9P4gQ/LCBiWJ7mFoK
xX5xzCB1nHe2vBnz4Xu+0FCLfUrcRez9uPk3x8AmPRiK+bxFxsYl71RomafuDfMzxKF+OPsDab4p
m7jZ2JeRsi7EEX6M6HVne7nj9SBucQv0CV0dqkCWMXJfuuqtS3iUDXJrxPLN9/JFI++XrDL7u2Sm
ClQGO/ZCWhN7Z/AfyLpD1j1hHkPpMRV1DMgMBtN053Lw71dEQM463Cjr+VZFbCVx2KCAiY7zEqsd
Xeqli4prWTj4HpyKN3K64Qeawhiya9vi2NHIh3VyTJgk4lbDHD+4OPBAwT+zyvhjEG9uRsYBF9S8
tmzx9S+QNfJayZ03qW0O932TR+m1t70/mGDBmPg3DbR+oDfFw0JJjO66RgcGkvIkhuLTdS0m9RTI
CnZmlxesvZZV42mSN7q8rAmfkWE8m16dhT3jf0wzS8grL1Ydw4mU9K2pkbI4qGLY5Y3xb0TNU8RO
fJtIUMixcG6MuL9luvNQqBJhF7IGjMn7pRm4IVN5VzWEB4BsPnUWgfaKHQcSUsEbZQcRxeelBFjY
/iUNzVQeG3D8UetRcSQH8LjkQ2Z4+wH29ml6Q/f1NdnDvVWePRZvgcHMAe/nauuNS4zmHC3sdwiW
R8foosSAjnaNf3CM/XSyy+6dJPnBfnRGjzdsOiv/8FrveWw5+bU5v5fpOJ9jxmkphu3cJX3cJpPc
BNnEfuaRWG+IreR3xwMsa4rOmRofIZIdB0gETdB/fk3ZaYYevUtro4/EYAoyoV3ephWilz1ovnie
DaINbJIex3lVadvFpWCM2cfav8wnhpyeJ9t0XI5OmRDYTWRXyJv0m6AiZFB+H8+DxqJcP2DE+ZQO
SWIE9u4sBrXDnK/he+kGneYuszLJRzMikWVQv83N10hN+7FHsdM5klFWR2iSGtk+D71+0Y3oqLvV
exJbLU+02VBQlJjPSBAg//w0DP47SN6Fex8Lhb3sm4moqJjvnAV1PE+cUCX5m5U6QHuq65L6ZuA1
BGMsI0i4mcR3xXrRgye5m2VH6hlXZbX6ITth4Ar0MXJGn0h2OsQWoTdZ95pcQKiq+t4H0NM6D1bM
6cfvcW0kUk88VHQOSj3nPTKBtjGei/bF71ToQb/zVfwK6G4C8Ql+K+4QgcdlW90TcPJAnQuhbJnM
N6tje8fCvm3a1UnHwrnXK6CJsnlMzWi+erba9qDtv6peR/XjtIgjOWp2qQd+EJs+36XaYJltNcZm
LP1+71mVe3a9eQopO9jOr7oW12HumkctyFgr6T/Zkx6qxTzUrpOsUcD06UnJjdrCcO9xMQZ9XRvI
5bhyLcM5ycpGqCuhFgLAHM9WZ712ZIcEMBMEdNZPXc/o633OBL/VuTWwAu7Yp6D9hbXvVLV7cMSy
77COnjvQcuc+nWAYDvHFHE+FlWrXGsRHihACIDJyTJRGVkhbF+GwqOML06hPJD7L84A1b2OLutvi
1013hgOGjLZa3g2RccRVRIdVNorBVeLtxqHE2TO12UW5XCxg+KxQ1ylTZs36IBA1ArE9PXURMaKy
aYbHJaNG9TyInODvg7iwnQsaTNp3I8l3M4tEyBJmd0icVjzRLqB1rP7gJ2zShQa5S5sD0YLiNo5I
xUXf4DPWqosAuH/kG5Rcy6bmodVjaHj9o9kn8oCP6NlJmEzEYAFwvyAnwEOQnmu7uXpEQB1K/B0b
jYHmrhG5v43ec+9JJfp2VUOMLK25NPuQ4CdehZ70Rw7vnVM9VXMFhbyn+l6YZMfokCv6DN+c3uzW
RM4WUsLC9So/sDRDPFTqzzMR8eh/RZSc2h5TwAQZPky4b/eNX13RDaFRhgGr6ZgruiI5p+LE48ni
I6XHmJD5kwbVv9N/BiRHUVHK9ppr8Z9jehd4nDSkMRegOxVI+2AKdtbFReBEcDmzk9xHBzPq3zAZ
FExX4y5Fi4obYoPDVrA6+BgWxEWwH75ziMhOt0C0Uv05B7uC8gtAdEQckj1Wn3VA78PECEA1hp/o
NZuSE0hJ/K2KcPOGC1LUofcv7rwrXJVjoZZwEhguxPLl9P6uqZtfvWEM0bQmO9A03/ezJYLKBsrv
9aT5CUpsL8Nfia8mcLI11JI8MEgNbAcUuQaURhrcHr9cuD1ppYNJG5az3cKC7YquYWDY/eJxbcJ0
iC06FhIytwrv9bUXUt+PSfHDosuMnKNvlAxwfPPk2z2BMH3G+DJNvG3nRSDHIuxj5prRNBjXQbe8
HW/bvMW7uu3IZXzOnumOvEOXIs/Dgu2FpqY/Gw0oPlNkyEtEfGK2mYR5S9w6YUxo4BoSICOhPRPz
HV8cYSPuWzjn0ix3CGumcIlp8mE8NW/5sJg7B7i41O0fZ9VaKDshu222trDtFhDyCC4gtrtN43zY
YmlY46N6bmJKjNJ3P9Z4oJPhSmInMaYiwTPvgWD+gIVLwlE1/2ovARvr5b9JPMR7SBGIJvV8PNvH
Tsr0xoxnnytfXLUkFmxoFAJUd6xCkk/f0nmtDM4WDMK7SgMWOGqddkVkjTmGYEZo6bHekPAIiUc6
cctrSeZNl8Fkc5zTgmsepJD5yF+Xrqxl4l+74yUVQgXw899Nxpydlt8mW38Zc5PRkhazQcw5SRBX
HO16CufizvXcQ1nFL0N1383RLmtGWrWuAJMw7RXc0mtCWjvR0SOZ1GwHmy56iSMKbkCEBVgNNKx2
cbIo5+LK45GanAfBSoVNCW+27Z7RYQb2nLIUbtLneMTQIkf/jbzLF1WLf1RU5c7Q/CeF4D+YGDBx
kadnUbfDdvKT6zgo+wDtemZ0go/XTf0DS8fHJY4/c0lWOkGIG3fGm5Jo2JrqnjlPJv9iEjU0tDBh
LnE6sUnB8cF+1qoW/vDkOkiHUTz6wIMr6zujRIeOc+Nc3OCSVwy+sX+QWALsTcMOtrKWbWj3ZLOw
AY5ebcf2wsiXYEctohsqLTB1XBGiJrJLSu9s6GyYaxQCCECxPuiBHGy5r+L6TYNTDkV8jA4Vw5+1
xA2U9jtHio8O9x0HBvIVWaijl9ZIu4awtMgMndX6w8D+uUv4cnAJBgCPfGTZdIlditbHWSnfdeYF
4+g3+9Wtt1UTmlTbr766EXgJGbXsVrxSbUh9eCFCEDxVau9dUt/gg/XxbhiLj1FQbVSSvyXDiE9X
Q+HQLD5IZHdHXAFRNnU4t3D25hqjUYHL3qGMUjgUFtY42d1CT7BRVgKiLC6+0/kHe0sdjJK6cOwT
5HJkBST2UZVA24vc+hV9e8VYB5wqL9mfjPGjNsbeQQp5GiZ0leluYLbPlA8yZh7DP8gT4+ZaYAOm
qNlyjlGmToKDuV/Qr8bz/YDDZENPB8iHoSfwcli4ffNBqi53ziB+7cn+tKyRciKPX1BEIZjCd6jP
GuLhBHE+ePTT+g/7FWxQDuvMlo1hPSKIja9ePMebSKN76Pka2Ftouym7mxK8s5yWKkQaqG8sx7uk
rZ8fWzBXAeOmIC0m+Dwd2yvprlpLy32kA/kiD0LbxeUYUkEyU6daqQESI4MqQvAD3i5B9VqM5L0N
5hNe8BOWmLOYja/e0u76dQ7pncAdIgafzENvlPqmy/uboE1lcnhvExnNW0Vcn7UTXF+KC5BwHxbu
FoICNmjWtkaXolvLeVTusTVeo8GgDiPvZKNrCyOIggCX7GQv1b/ZjrLrFOnZlQEFNyvmCKhnD2a3
DgznemdhcUfy386h2ePfrGYkqQq8KQsYvadvmtchmj2fFQypTSSPYDQzrlJqkZJBc++8qcnfsvnd
NQ6cSqq4w2whb64Q+SLeW0tq4xE9p7nRO+4KyM5umu5tKwYvbqSfiGke/bqnASv6gP1FFWi9YW4d
1F8b0hOFIoosA+Qept4RDQUTf++GQTtotbzaal2HyNGz96qCyutWT4mmflywrEHd3sy4LamTJXqx
+pMQvXHDwAPZZsVYYul3yMWtax1JLWikNMKpyaiCCgIsvM74Nms+vFp+u5GIjnEyB+3IrFYNPCng
3Hnc5aVomzcDCLetc6VMMNxjX795dfvkMio0yuVR1IwnU3YoStLXiQatrl48u4OJ/64AldeV+lYf
G0BsKEYY1NXbQs4amZTNccg6b49OP9koJ0H6b8WKbFNGwq3Ql8MgWRzOsjilpUeOm+B399wSgceg
v3ZAq8fC+FEUwzvNXE1pcfdct9EbcUEnjH2nqnUgy4i3ld4UVdVWRs4pHY0n0or2WdzQkBWvDuWJ
Gb0nSdMdC7lQWRVoUDR/U9DIBKk+PEtck+CaHpMy/pwhaG/Y7j6iA382fXfrWNNPVPXbVPgnxC1+
iIKWFZI2nASrSPDIzAJH7nJjuSEt+i4KtW2Y+PC+d2eQ4kycmRCWy+rlBQwNotU+EaX94PPd3rMZ
p5/SyZImS9E9sYY9Y4LKT71JaOMCzHpPeowWOjVyIVfO2a4nPGKvGdoErsw5qUQVD+l/3J3JctxI
2mVfpa33KHN3AA5gG/NEMoKDSHEDEyUS8zzj6fsgs83+SlValvW2NyqrqkxFkBFw/4Z7zy2IKND2
+9inzgm8LeSjxZ0GvYYiukdYkk/jpR3Qh9uSeGwJqDQDpL+RNCab8b2ywlvZoprz5pNrVLcqEHsf
zrEPa3hD3vYn/hY8KQZxsqLlcy6YdY1Vvc9KcDWTMx3tNH3pCfu5L3xzeir8B3xOKaIgA6SzjxJr
kozEzlOXkyVeMWFdCO7s6ZBxlPiq5gLDWzGR1fwH19nZedYCNrQKDxe48QJVLlzl6j1ujMcqU6+x
wzchTkcEH5y2XjdsZqK4qQXWs3SyrR6KkJRT+3vkMe8bSZ1CVpkw6i/sneOgoWVBwrSOjHOcyhtl
h86x9NwTxlrcLqLeNFSU6yqmSgvBpJdLvd2WA1Jp2mqbASwyMp/oEx4uAo064Njc4ZBSgJ5XUGl6
/6CE8+Tb4bGbid4AJLpLpE3ssHHyw46WpOfhy3CaYQGsLjNkgdMUDkd3JOAj80tSFAiyCWfOdC88
SStI9gPKDSh91l3VVt5WTCikYVdqMHQt7ab2lqsgxRw5+fsu6ZkPeFG8HczCZOEVtkfLqSlMlpOn
wEpi0t2UtqUIxMmKfS3MQ5K2FJXM97ZIJD8zUEyRuDEMfuBhMS4hC1jZtvIoDZRyZWslbKimn5x4
8WUIhh9T64e7cKjHXV2aybY2BjR++SBOMNY2ZhaoI+kh0WGoGUTZbnHxjOGKrEM71oSoUzHjNoL5
UFa9sY0ycwLxV0TAMZlNWrLVqOX1fMk6vM4VIfXoBPvTKAwOaof4wXaqTy5Uw1aBLoj04uDW8kz/
9FqR2B6M6U+vwWRYje2T0YlPw3atHUf7h/R7nKaM09VYyT0R6GAakTVtLoETDreShMwu6PgQKnDr
NhiEcmQcPKHijZE3c7AxusexVWPkxHnWBEyAu9IRaxzMp24khysgVXlo6wfJ2OmoZ/cliMZdbGT+
XtY6XmfWBd37cB/TtXlQEXyqlQjG6fcWzNnBrmeie1gskD4lnhoKnQ36dOYlFPCrzCbTrniYfOrg
IbL1mtLPRRyp70kAYQbdNW9a9x8ibJ+o/gURiU+lIhexKrNdj0CWwCuGadmQokfBytUpv1sjC18D
MbwIu39BVdM+8Hc+kjbsUN2QIrLq2hyBbAQdPBwJPi3p13ie0AcOzCU8CcW7EhSHI+WSEd9c+E96
ZgthEz499na+/jGJ+pcp5zfTCx/8iBQyTZDCajTNH4wn0KdX0N8XRUhoTT8kP+aZsDPWuOhatsx+
D85MukASRs92xs/aje63GRUP33J1dT0U8kN1sxZzO2LCiJi/sqI19n/NHp+8XXyyfKi3VQBGH0WW
l079hvTWesN6857KHeXfRFPfB3Cqy5DgdEe/slt4780YvFaSo1yvVolgZWimbX6apHq33dHk28bS
N48jZ+XMXb7Xw/RoE5V1D9inaTUj9mD21oFqym0En2wdcaXuAsnrToZDPhLyOCkDaD4Ri0xHLNav
ll8kd7fFMgEBYjnGlE8DS5GO+dsa47PzwlXXr60pRckky3OOeeCYxMssoeRwi+3JIp1+hg9QBDdr
BJbBeXU/MngnQQOljj1Vd0GZuIekzFHruOIdu1L1EKfGViaj9RGwuwdkd6tBORFOOt0VvSbrjYH+
MMTxYdTdV1E9TQIsEmID10d5qfXPYS4LSiv3E6u0tVG6exVdeq2S9nteXcYWEeJNDoIHAgXRWG47
FYmzr70P23bfqyknJDPmm8h+PeSopqpjSWfh3W/uq3HblIsyw7XOeJ3fR3X1I9u5z6HYr1TjrGFc
fDjI0tjBafqV7CXrLp0OUYwDPGh8fMdGbj1avkkO2MQ9Q6y64hbO1aGgkXYG6f8wp3DTcgxyySzT
GF0+4SU4T3ZzX3ec/pUi4qRidbIf3AbpWUn8WV6rz0SwnWls3JgZqb53Izv3MGEE0CN5YDOICNU1
9U0mNbw9qF4vRbZAo5rs1BE+fheyU6Adj59Ss2tXiIuNA9J0IrJSp2GVNk2bqAvMk7ayZMO2dtxF
sV78JtNPEx7zmZDvr2Ie1DVAdLk36R3XBvdSREk+JJOL4i/90RMiRWScG65gH5drisedi1UK+mFy
iCPrjH/gmvQ0YEnZpttJfZ+y/mgtwUuzLh0+zujq9ksqANp3XQP9KoQ+WI7tHonLgam3BGHJDuyN
3lejcSIBslh3IDnX2KB4K7OPToORmx3IDxcH9HYsiOnOPfLc/ehNpc54h7lN5Rg7aDanbQFYV9+S
qLgWhCStTQX2GArdXnvIYiensVcdoYsDaAEqZucaaTwV0nTuaiYuToRxjpth5YZmcdYx9FerbC7j
kCZPqhq/d/iGh0LBmtlAGIRMEztkHhBbt4kRDYzsfMi9a8Rxlu63Ycxu0kHkOsavZo9bNIHqmPqP
adcCE/EB09pK7i3VPhhh/uXRi+0Y8E3KOmcx2cd2blaHfGjeUqFhanTWxTQQDFEDqC14HHIQ6vZR
ir471g9jFMz3Tptb98Egxd7B/UUE6YFpJbuMEbdRnwRysXes47Ecrii8CRijhohBCOIq8qpzaGUv
nSqfkwCSbDUU2yxo+muWm9Qwc/jLtkCZRQjw9pMF8NSjdaWcoA0qcPLe9xLjLzJjpDJy2vdyDG4p
xnlTslXSmY9ZLeiiSxGpaVMKSR0XquRggM6OkV3e/88fjQ6uI+3R3qm6JfXeSC/hINp1hALonHKg
9Z2dXMzS24Z+4r+DJdvElvNk2zJ89DOjO1tzqLdscEE9pYdAZfIBG1h5NeYInxX9ffCAhMJ95cJl
1kg0/Y7+eSSTZvGXtV69TYeWa5cW+hQq45MBncDt2mbHIMpvRllMp34Bz3lVcGsVhNGwwakS91dd
4WRve/OX51xIe/C5VmV59N+DKvkREw9NM1veaQcNn21b52QacdMX6rPAGr3rNEo6Pj/3hkdL+fLh
D/M2evCO5DnjJhtPLClr7dqm891Jg8iLzCuds+rFwKdZmFzG3byNCDhYx4X/o0/n/D6Y8qtneMw2
0iJn8YkdtLLlziXlfBcKA6TmwDqQXUWyoyrgpCRcBwdeXO4ETBUs4gnI6hSuI33+yvFzdycn0g3a
WDj3XtDucbDvm1HvHe6FXyHmzXrODo2Gk2h0fnP2JyzySIfvWXW0Byt2MMF1WbVNGHOsixxtQRnO
Ph7YsTkisOPgwzePq39ZALraOSqsE0Lmat/Wyn/0R3rlwfD1r9l8RuK/aTgtzkLH3d7sWNr1fcDk
yzUacpbUR5E7wVthB3jb4TiTJjW/B0bj7IDL+afJ4lDhcd0lfoKQYekEPWFurAClt5Isylmwvlpe
ea7ytDtRd1fHOV38LMxH9uSzqdjQt5n8qN6GjOA2sFsTTnoVhodgpL8eevuu4ri+W4Zcmz4p6IZp
uvd9o8wXUbhEQy3/lb4ECsVM7rQvJm8Tmqq5rdOqSDdVgsYwsfPpKrkptn3urptp0JeKhiaEGlXE
PZSsHL9dWDUHwbLzJR7bTzFd9IzguFdzdy6nHrdUNl9CZZsHi5MBygaxajlzuHD6RGlsnrWjPxv5
SGh1ceWTPvVLAgNTZkjaZHvsEluBweKh40hRd8DsWVhWvxigV+u5icSlDCBD9yQEOxAP104XpfuM
0htbmcDCjMKZlVq26yYPWKu7GIVycRMR2YIxE20IG9FeIZYJK2LDmvZhLL1oHw1YK+Yh8q+dLHap
RpYeOjjj5nZFKtimQsf91DXprZccIGnVO6cmMu7JnLqBleR51G1+yMX8FnSclpggoDaRC2qn8dYg
fH3X5fd//CI5U5j+AQeNIMOs6rAP7qI4PDp2N55L5hYyF7C53JSTanL9k2rm53psd63H/Da27emQ
tc2PIBy+Ra1RPZYM9dexPLh5bd5cFtGHsGngIKAgmlnwvhQDBCiXp4XBiF0fJdbHI1uDbp3VtToZ
Tk5tKTvnhOTvl8sYJxp8dWVxyy0yiGSHhrfcllFk0fM0B19a1aEY0J6kUVuth8QCOpG4e9yM1l5Z
rjwzBaj92X7q6zYnu1XeovJMFFT3nV2RRziuS3tLV4fryNxFySJgtsMNrJifZUUWMjj6d6GjtWPX
FujiOd6FGpdjnc2wIQ370XAQzA+avq7UVJ2MzHJVl8h0qbJ00W59HzMCarYVQICXErUc9G2AOTp6
8IvwFQzYuJoJUNhCJCLNlc+sboov10btFTaqhdQfdJDa9lZZuOd6iNpLiWACkR2KSeT40aHO0g2I
0Wobp/mLmzV4/VsHiNiIW6Nx15mQHXZhxB6KRNtbiXt9AxI8X8uq/cqcKn0fRXUu9Za7frxM5gnz
dLNjEBxsssiL1/C+oN2KOTzNwfDNVj56iqYFa9TgGtGxY13yyUiPaGW+1Y3lvGmXFY1V1VQxy391
1LcBAtZrFDXqPNR6ITv9DJN0vJhRs54V92gClSoMArjslnucwTaIBLHHU053gsLQbXEK9zdkqccA
7uAqlsWrJ3S4MWv5iNTlpVE4sGxFApmYXwKSclVmTPcp6TW2fAga8RBAcvGFbmCFQoVBb/or7zLq
YZuk1NLJv6FovatdXEzCnDY90eWA1Snwy6ndOkGyHUH9YIBpEbfW5qWYD7VjH0PM81unB37jRVQ6
x2xyOFkl04RmzspdXRQhoJK70IVx1Mb9l9l0x7wfbq7vf+/c2mZuTNBnPLybBiHXBKzivltEAeot
SexLwFB8ZTZRvmOO71q42bnFoURXbMwHBHuwSIeiv+EI+cU/RBwBFmnOFhBLjGJ410YcHbXx4RKW
h0YWFdMkAlpDhC1MixrLAmHX9iR01SUuKcaLYUKosO5IQZD2sxXNxNpXd1m1cBDAgyGkeggHYD+T
ELiFYgQfOC7VcVZgZjDlEkXaFuceYPkPl4xRCm78iqPIjtXA9HWJET1lggg7lqybxkLzM3X3xKDC
t6nQxE/AMWrdX0buEkhBbQiOyZ9PTWxeHB7eg+HHxqbn9SiP7G5T99K8J/dY+OHNjuL5VUDdcXp8
60ZE/kWJPrjqR2uVAZnf1jwp+zh7DufcIe3bDH+o4NA2Ay6rWpGi4ehvfZyIu7HrbiUfHCOgcdX1
iiHcgJWaenN+8FKyLlmEtUfJhcT4eVFYL8BfIQH7mzMmVs/pKMh8a+UwyaX1zCXEqU/MN/pkV/oY
BNnVAUNMcUO4yOCEKNDd+Wpesd2rSxSM135e9o1RaG+zAvxHUQt5gokLDb2xx33H1nVNuEe85lrR
V4WCCHwOhOUx7j6DHccFHXhNUEat22KTq7Hfe3XBwByY5YA0bEsoIfqKAOXdAHR/XbRMjDlugRob
qJPqGn3cNPUjTDlkGU5bqXXZMr9wCDs7kPzBoyLAMCXdTBJCreJVKfJ8NyZ4Nj2JAAqP1lBVAw5C
b00jmz9bo/GjyixSFalFEi/2Lg2BAw/LLkrNSfm45KMaKd/jyveuucG6OGzd4HEk4g8up3cgyOkm
ppR1EBLqIckVYYaCDULLti8axngb8bSOgK1YPgj/6vWth1QuaA51qr/jrCaUQfAzVVl7pYpbbB5M
91oMbbLD7C9rY5Hd1Anh3aFCFISkdWy1d5Mk2GBxrLpHx2IzFWrSm8JKng0Xc+IMERiAWeo+Bw2a
dXSQibfzG0WlVjn3yaheGEO0ZOVAIySo7hRbDeYgUX7EfikuukBtnxfZuEkz39gEcxkc+oL9U3pr
6lvWzuXT6BcffmQiTe0+zOY97NMBEiNuJKm39Db2Q44n1ujD6ugKTFtmj45mBp/Sl6RKMPh8oY/M
T6mP9ysWNPPlW5yr8gcpBhs/KL/pNpbPFPjfxyIAdVfYZ9XSNjHDBAEFCfZQWD4znq6ueOixLyUM
I7TbEmrY4KAwGozX1gLMSlNuzKE5z25zaptMfcuqgcWiPfS3MhNfyvG51IV8n8G13w1jiBmwsrc6
M82dYZvJPsxhpzKmBnhhT8zdZZARJXOd7fDgjPhY4gjnaaO/CVizZu3TK7tAxXLrtRwwJowZqAMJ
2YQZhtiFXMG0Vxfp+YfBRA8QheGG8C/KYq4XOu2d1G20MfA8xMyPFjfyi1KMA/J8NjajTZAh6isY
pXdBXnMLG4utx4CHAhFsVSTPZl5crVrKY1Vrzr3APrgRAIp2Guxtd56bftolqQkxsHKvivMsZU41
1d33uYNzP7GWQI+SrqRfvllQAlfFDm0IHHu0dKjnfmDyFKtQ4qXMojcSnTjAyD9ItHBXnDusSSsz
uAy0z2LINoFEF1fHyBhdgmN78H9Mg5h+dOHFaFzMz1ZcbIV8npXNXVR+uBnnl4RnQdmrp+OUqVuE
lnlTVlptLWoJBg0rqOjTfanrqyMm/IoKRfpkd6e8C2xqlBBzmjM95QWlRabSrR1Tf008wKcppUmv
wha7TNxiGk0YeropdAqqBhqQFLIKsXEQtREOmEye47a6TYndEiW4rmoWyhFidGG9JwXnvq7Cqzvn
/Q4POosfc0TmNiC2TKavPrXmHQ3asXWa4WDH0Z3rPMos9SBEtSs3x/9TzMp6GCLyDCs4FBVO+Ugp
YuOCGvFmwyC96stzaxRyJ0jR2I+BvY4Dj9ngzEZldoNiF2c2kylWzKeiXaCyBeSMCTrFsYqKhDtO
3RuF8UUT2G3xNk0cOag9RuUyZVHlEsFCiciqYMtxTaOsbOwrld9TnKOjbh2QXO6Umu+m7T13Tjsd
i4gAzbQtQalYEEpZOexl+VzlPfLMBpmh28X9VuO6XjVYJPfohT4V4QIbj45E9V1974X+l7OcVBGN
5VkX+RM5XqT/dUDdCFlRL33n+huBZ2hFz4jxsuvGS1xWLFZ8eDVkVXO5e+ETJnOSFQLMyWWJScKh
8NmYFgAjPAchotIAEcKEEpHWxGSjNCSbIe+jUzH6ewXuHIEoEvIaXMvat2rnZJbzDw7o4hJ0/OHq
BARwTCeUT3Tbrj+fYcb4xKuYBhfsKFk8wwhg9OGw6mZ8aaZl85BGaCeqNswPEwvB21gp4+aTtRA3
FuIUdDer3Gjl1kIadyahNj7LnGVaOBL96ZHrgwx0pSvXJamYvEgJ+DasOP+ySx+FsA8kJnjpeO+x
VEyiyTDGmIn2MtNHP6MGL/z+TVRwlq2JYSyjbRwGbLFnWydbX2lgv+NrNAKrUrRuK1G5z3mfQWxu
jyU7FdssHrrqmrTI/FxSbUmYIaLCp5AuxZuQw61mvHFveww1OlAqS47YhZCTD7cAi0MVOZFfyYNM
FaSira6gGgCKHcA7LF2uxxsOIoALnlevm9D+5lVwGSzysGaDxsRu+QM3NBIF5tds8QXyReizftPv
cNUcsybcZFN9ME1xrkT8E2xBcgrkJ52QhYKGr5KszW1gKQKsY2aoAwFqVMH92k/Mq+e8iSD8sGEe
cyxjJcii6MvU8Zeq43ANoA15maHv0x5pOZzc26Dfpzo4YyvYpoiCEuKfjn4t4aEC83eySwpJAw+c
fxJxds0B97Ap6ykNc/ZS0+Kg1nx+TertGKHj/qNPis1bcsSw/qnmESN37T0Hs82OqG2ovIDUdfGX
NNq3xUwJ1sdkn2PfVPGE5IrJUd295W32gQ/tQxTFL6Irn/pIfwyRfEDVDQWO84uypA1Gd2OMxifR
As3q3pJZgyDz1Lft1fMM3PT8XVnP8sMk2HdSVEhmE3wZJk0F24ulpARKEjwVwBBLr30mho9Spzki
qb5T80LV4G+NPfoQc6CZpnIkShxJoNF4+JGDJ7tRd3HoTruOWn8DoOFmzU+58PZxZKoVo3e+sMmN
nIdh/cePKJa3EiTNNp2oyke+SpP/HNGWEN36JmYWiCHtBTTOZwpnDGiBeauKkerMzz91/G1mI0tu
TMoa1XqO4bWlxNSXFr/53kR56DdvOJPvl//0+kfH4fi31Jka2T8UPWa9dMFVysD+4M7s3G5AWjJZ
/PiNxVEv70UVjkd3RpXOmbWtaXYP2O0Rvs7iZ9VMmH0mPr1SHHuXxDvT9HcE/VFboWdorZ/J3F3/
MBw4VyPSb2OVorYefuA7uyOOiSQeGT81pvsN4N/9jIVQsZvuvIIwq+G9nKa7JEJkLCzr4BUoaGyl
Li12IlekP6DPv0wIve25/SSa7aztzAHOZfprQRz6nzj7/19TNU2NI/5//0N2wutn0/6v1Sehmulf
khP+/Pf+TE7wxL8IL/K0pfhVmtxohOL+mZzg2v9yladcS2vHo0Lhpf5vcIJakjaFIzzh2J5yUM78
T3CC/JdtCUn+pXBc12b5+v8SnCB/D07Qngt3VHsm2wPH0XpJ9P234ATHIo8rdbULyCv+jqb6zrHE
M1qOA0rvd6PxVzgHirWiM/F4OsbiqUDf+m+/sr/LOBC/JRzwHlg4KstxXEFysLX8///2HmI14rgX
Hsecgtpb2t6X44i7HELNtqpzJKE/+4EEaW7+RZ6sd803Bwwi5JQe9Fscwz6r3MNk2uTMuOa2nVF0
RcFA/wsxd42mAkiHyya8EgSmS+dhKtMvGywtX/np0JqwJ+t2OrgQPTYlC/AKfSObqJCbJDvkEsqz
BK6xnmv+QCppQts2VT5umfHwMqzZ6gIvmmEG846n8IpEMQKI0PKOEP860WawjI9//oXJ33Oil1+Y
op+xYCspz3Z+i4RYdDtWPGXu3vat57k/o9IC7CEOYpFAFrl1mAxuD3sIlrBcokVBC27pxJkB2bB8
lntTQK9qy/Q8iOj9v7w54mH/Esa8vDksK0pQOhLEYf/25hK30j4tuLt3RWcgl4QDnHc7V4U/5eA+
2wZFLuayBZrIAMThLRqB8fzP72GJgC1Saq/8zxzt5S3wC2JoizqKhBH91y8UBuIelFns7s3CRvU8
vI4p1Im+Fq9WnVwH4J2rSPjbvEuy9T+/8t98MrbJRcWX2WaI+vvjVCsEZWPsensTjzZAG0xyzfiK
bB72XVo5a76gq39+xSUT/Lef1eM0IF9XA8Jx1W8PDxhIWQ22D/49JJyxSia0zGn32GfRz39+ob/5
pQLA09SCy7KVmIe//lJxlvObXp5Sx01/5oDqMyP+avn2scv9lZg5Hm95tNTDP7+q/JvDwZN6OTdN
toa2+O1lx84qCnZhzt7InJ8SbVlKjn0wlS+etN9gPdxlJsiMRfIBmuPwzy/ucMz+xy9XSdck71Mt
jK7fTsdIutZM5KCzt0LCYQzce0Dm0D8pioIGA85paHAoq42TehbC00gcJmgF6JouonmJIlqPLnGB
6VpPsZHMmzAZX3sGzBDuC7X/45+vUpWhlWZbHiduja5uZRkdxDyK+a1nHaVsqn3cExNK6i3pkPTl
GuBlZ1h4ofvIXjtIjBF4DK8L0IBRu/XhZOW9YcGLJcwcdbpE2ztJEwC5X5yZFF8iMJPQF3DOIeXu
OCCkefRZPSHhqPAFCyxaY/ZRpCZuDOCmm6mar6McQcQ0ChjrXOOfRc9DO5yvY3MGOB1xWBbIwgLC
qzCE8UiHYFbgZRPHqhy51bZ8c0eEcKk10tgUMv0vn5P5N2eOZ3uay5Rh+H8+dkMeqQE5PTR8nXxR
NJdECdqczvY5G/UhUyxdO/3dnZJ34he+UPbuR6zyFijmCSBj56WXoiivinhbbhi5a1n4ekPACPxT
BdFXhToWYTwiDtb3lT+QEBKh9qM1pPG37ktQJGuICdd//vL97Tff4363POkIG2bTXx+4OkZeYYMz
2M+MnGXsr0lmgeEAUZXooXuvXkWTz3FvSdjapr3551df/vK/HiueEBQeHEgsVf7jmw/HqBkYUbp7
q6ienYKy00uuVamf6yJ717m4C8ug+S+HJ+fI72FHREsJJYAIM4cyHW3+dnJX8JANB4HNnikJ2oqs
ucujHhzbslqvsvfaG14bSKSozxCTJrGsCINwooMyhy2gkXsRxMB2wnhfTIyTzC64k0wyMW4JA4xN
PFWLlY2rWbtiZUL3pWRGC+6iqCvJIzPHnvQkCwPFMJU4SrR9z5ATq6sOecXcPAVJ/tw2RLn0SJ4F
4XmrsmO/SIIwgxvSKbpqcCibFzdx/D0TzNtL8o1IDXw2tf08z8ATu+gr68sSDizNd1z3j2g6V9h+
e3DC4+tc4Zyomkfdej+jvt03qfgZI9GRxs428h2skL3BLmCdoK/ACHJsraLZC7OlzUoPEAL3qVe8
YfzfdgyjV1aGvK8kTsbV9mWpesjLpKml/bYG9PF6AKPlKObzLpdGw8JXRONHqhXWSpcMQ7wUNNu0
VFQ5t2rQr0slU5dsrus6fc8CizvcgxdeBq9qoAeNRHaflkTt+uaPouF/gOv0XpTGR5D0j/UA4dju
j+NM/ok5fvaolNDCy34NKpBCqtbDCps99vKEdA+mAdklIy1nhaaZvJQwIxtljHcTSUO9YEvub3wL
yX7Tv2Y9S9WAsKs2L75YZlRr4LFfmT/tZAgve8yf0vbQ9nyedpr9hM/x5BFS00jiVCHiPeqCV2MN
ygyPyadsiVkyrfRbZ/PVSslhVuRODFP6Nff5KxywvRnBYSu9e9PL4WJEI7G05Fw2jIPWeVTt/WhS
yE3cZ3/kPFF6MyQdmn+M3lNNL42MVqyH1HhLyBln8wDmK+H1rZqvEmLDvRLEcoSB80NWVcdmh4/a
jdsPnAo7DmYk8b7o13FJ4zs8j017y3IybFOJhrCEYZsvcPfaxIfnO8+mpQR2Ho/1/JD8bJyYuNMF
g2Wxwm9BTpik0fAF5N9o047PePplMHgum+4UjHozgjIFcYkSnzkA1OLSWmMZxdpTeddgwtw7D8WO
7QTDUIV0dWD55QU8CpgdB/RZNR+Um9BHNvqVgzTawgtONvTKd/Ji9yyWEfhuvIT0TGFbnyFUjJW0
uTdICocw35Pc0yFNH3T8PeHeWqw6wQH1/gGfV+T3NlMOlzUII9hVykwTf3bwsnxjpNsxgSCdIXKc
12JAPFt2KGP9DkZAamRn0l28Lci/fmv71SYqtXkQNG444NtXIW1meQuxOEhK6mMcgL1BEIqMGF8a
BG/AP1vVxJStcb38gtVXrj2qFoBmi7KvJKaaQE3iXRmp6dBBMMCNygm+ShzPxcVLGY7IM8a9ljwN
lfWBIdYC3upPiLr7neyA7+a4Wo26ph2x3U9kJfjYaV1EKm91zNOUZjw5MiIUChnWofL5AlNqhmzM
Bx55mwepLK+6pcrvLFTj5gLkQ0F/kI61q0JIbDKS0SGISPYGLGVlC7xlTHZYHFnRGuW3aFnfAyIy
EMRVV+FWLEmp8DK+yGE+vCYq+ul35TVL+RUlIrv2DfqdQECGpkUbWIb6LXq2+hiwIt4Tmgn+JZyP
jgQLYut82JQ55S9ByABS22ETDu0BJsRrljTuphmjesvbWLD/qixptpa7FZkPB1BOJ5Nm5VnzQGq/
Oo+ZfKs7YnQ51z/Kkk8mBWSwKbwBKbFJOCzvtUPjtUZuvchrk93YTgyKYqh2Q9buqlreEdgVoF+v
v42sXYB0FTQK06s58ijmbJNXhuj32CL2dFABx1sBxYyHZIVAWm/Lns/bKiHCJ8WXV3dkxkbtwskg
gkroEkbaRJSb16Rvdc2d4jszCLApf9dsEoXNcE5ZGUjqPrnnC/OYZZHcFLAQGhEdcpcsMKhdz0bQ
3PKScm1YTqmGPwIyslCjxj9RZmIO8hoKmx6vYvqzRKy4GsYSBFBHasjyJeFiwuPpWwhOxMEvrX1H
KCzzvb0C2b9CieNuVBHfaJMQywdThG3SvCckdldb1YIyv1gYR9YejCXrnhixq/a5bH2KLIofJP/E
EQtTwFrpjiqpH7QuVmOMZSbiNO2AQyfLxl3Mzjf8H7eeDCGEPQ9ikKTMKmipzFfrY9EXS6pyp7fz
OD0ZKaeDLEsMnoHdrCGJ4gAa5WteYMvuo+wXwohHC+PeZIbfiYOuDxHgFhUHtFfwBODeFz9yFFKr
tnU5//3mFBXTo9lDBDNldqWkuJud/ifrWGTGo7xTg/EqEnyHgSaEzHw0oHwyTufKHFT1QwbzU0ZI
9Gac4mgbBBc355eKS/sKgyxdgTCDZD15HKXxzgoivpZ8mruh5RaCdd0Inne/aO/aIthgyX4nRTna
/nHFIoFikF/NfIDVjKwXlbSZ5ocmhaSsS2js5I0YOVJoYcSc+RYakjx8SLw0OadqIJHYpdJZTnTH
IKqYcI03Bhcmbm3T2AOkooQwMJfPRk/8SbLgdliIh9o7+0kKBvy+EGBTKgwv0pvwkZIPkpdefZmG
dvNnBdPzRkuoUut55IexivrUi/LJAlixsafhPMvmLcZyxTKSn8M2n1LyyRfdHPrJuViipruHwpDn
OWuQ+MwBKroS4YA5+ufR4q/uCv9TtPLRd+OvwEQJUmJoWLll+9qz3aq09QCy5hIm/H1R1GNcZkmB
g5T+xiRqjGome6oL44LT7UfA8OzKK/pDBETWJOk7l9m+N+TA10ttPGbvq15HL8S54/hsy3Cv1hDF
y3u3NF/hKlbQ/ZCPEFQE6CLIHrtAPbekmWySiEQTp3GOTlmIq9nKfEs5Fexx1RZHI5LhZgZlu8rc
8aOvK2Qn0q13WT6ckI5Ve1kv8TBJ8lr2zK6MnBwsHQ5r+X84Oq8mN5Ewiv4iqggNDa9CWZqgyZ6X
LnsCOaeGX7+HfXHt1m7ZHgm6v3Dvuda8hpzgFbSJ+CEx8LNGxppOe6Oa39yRmvH/4ZqZc913AjY1
Ak9es6k/YGp6oGcjysdwL01F+ndjpOR11Pe5eMelo859wVINZAxto4kgrIMOktH7Lbq5RwIbn0R6
Bq78vFixzQeBJ0PY6YmWeT6ntg9TM7XDvGUMn+j+wWbyW6K+Qo/cLdueunkvNUEh1ohMtzH7MzRU
Ep5B5NAucZhnlLesgUi3OCU+aBXFygapgm8fDC/Iqb1qZ0eluZMi/2ZDHGwMLLcHpPAHrxnes3Z+
MniNUkdj5FO7KCgfeeMOQdkP+zabDpMp95ayHtnHwiuvoh/DJ9dulps9gxUE2plxjuv5MRPYFKBu
okk0tujsnF0XYI/VyZ6qZTxFeR56QeRuhW2B0CkAZgis291kQ93Q/Q3F/2PszD2lKyvr2n1fnOVS
u86PStYx4R2hQfC5XKQNKugeZyobNMcc/jbiNkbpAejNEIZGcsCyQ+pMtHVhcW4MFTwL6ifs9Fzx
ERmVu9npH9yGYinlBLcNn2Uygsnut6Ob2lolrV0FzgORodNvIgeWXzPrGyFJMJTiq9OmI7wgB80S
WosJTwG0fyJuUgJuukiTaOHkyGrfWkQZd5XRZGEf4FEva7mzpzvfio9dz9NoilrtW2uHzknvTAI2
tlUjjkbqvnk01iE2xteE7lz4878l9ajpLKJv/LFmQe1O12EyfybvpfcccrQScS/YDsPS2qI/xxKd
IfAqc6K7HAK16vKmpiDCghX/A9kTb80uuAQS8H4paKcRm1wd1AR9ZDw6NWkYKNNJ00Wy4Xn2m1nR
eSAa2tlLgpgjfstQasMnX7vs4Q1M67hl9wPhmOwjFk3/KyOQG4OrvajIKhEcENgCAuMOnEv57Wv8
ewWZK9bYnEo7vU210W6Aj2H2so4KRx4aCXGp+9MkoZ07TjVRnrIo99D9dSoDWWK8zHiaaYmhp7mN
3Aa1/d2sPDJYZdeRAxIjlDOGfQPEbnKvTKu8TYuV2G6qU86VQon9DMOFRI1Y3ZDHvUzJRaqRcXb3
XDf2sLP81NpNw+cUOfh7S7nH2gcjCvv0jFh+8scwrsC9A7KQ4eCzeWuIFTDaa5wgk53KJ99fq6R+
obhy479WtT49AdZzVafPNAQ7SBrkacAqw8jEoTVgPF6FP0GvVtM7wSa+A67P6Uor1MSd2jqyQZYB
glxZE56dIDXBxgYNvmUhlRS7cXLGrR1UL2Okn4Xl31yW0jsXuF3UDKGRI6WzWfej7aEsAyWUhhFS
3yC64Z18TvloVoc9NdbVGfsPdxRw4BMa9qJJMUCm3r5syZZX0fiD3hOTk0GJQ3qVjW2DtI/IYQxP
sAG0gvh1IJJwWlvWQC+3koSrNmOZnNvyrjGhQyu3g/ETHUyFrhgblmD4loipQaEebWW/gFHPSWey
po95OJKXVqVuvG8JRdqgc8ZjZVOAUGcqC6/w8PP/f2gZ8W116Vt7q5BPORDbA3ga8G1YPzbxqvZi
PIB01jguyQM73QHXdnSCmACWjD4nYwKQVgUBuGl/M8gJlpqARVIHOUgYUbQXahE8OgYdvt3N33Wv
KKbSAflHso4wIAHtJkSKJedcooCT98IkUK8fDsayaN6G6Toa6FlwzyEN+BYVehQUUB8S+382xxcC
6nAOQuyfqctLhMQW6JMaAMCo46uZ1n8UYHpnGe9NBg2bQiJuXxP1mEC+aXhmm6DgsbKzSIWTfmsJ
c1KGuVcJkSvF/CM0fprCYC64evpF+c2y5+CM1ouWMW6jDq6xNP418XQovIF4tSoUKaNJkXjJFtcd
NmQIoWMXPweLeoAQv29bE/MdEw++74yOMTjkukUOkzblxkaqy2fkpC3hUryuSU0METhTLyCJWeMG
aO48tZgbK6axr2XyKNgQ9QqhxlTSH2Xz0cMTuW0nToPZGvkhEJmXgRe2A6KlZP5VYOeDzBkxIgwe
dIf8TLeMw8gy2EXhidm1zAZ6W0MgytPqqGO2fi1GiclCIBPzFDoa2fYwzHf56kriKyFQpnXJE8pY
Okv7xPvyXtR2fqQOuMlly+WOSmxiTdCAgowFdC074q4URFISgEr06abmmoh6IElzg18H43s33SIM
s8pnazzMzQmg8wMgasaY/UMKnSQK0g+0e69WTHZbf6x9/djHaHC6mGJwEHiNsFZIHh+B9q2v8KLK
etXsDlYohfV3SifMa1HONGwuvpS7HCuHq73Q+muIqx8CBZlwCK7d4YvdwWYNrGLu3H41OB56XmJC
OYCcVMvI8M0Tx8mlJ4+tAglcnm5hTFqMNIaU0BIQTbIt/kkaCa/CKYSN+geARUL4HzVYbFNDLhAH
zJXn5XdwLkTe3XUiPWBFVhSRKaZpaX70RfDkL6Yfwr2io1ByW6O927pkIlapDflcEiA8efW7U/9h
2YA52gavZpXRV0rkEFI4k+xxRQ8RT8TURjsmnggHYSKbNlMm8PEU0O5Zw63gC+S7btwgQC8nvoaW
k8nT3X0S5JgdsgDpj4dFLCFzFLz5qeuKh0DMITck+lWD8AyJeQ+hhJ30t9QyIJCi7Yll/xl8zeqZ
D2s5AFDbQnL7Gp6sfGGCFHG+t6XAOJF95AJeSZchlsSTR7c3BbB1nfI+6MtHpP+IGYPxGrXi1rj3
VflqliCFV7VxYYCFGCOfy7bZSqvhIyEShr9RwkyyWj4wfN6ceBE7h/S/ZKkOiAIJUhux+Gj7r92Z
Xlhm5WmW6KtV1R3ljGo2JlEjLWwvHFBGDmWDczMLbs2oro05thunV7cxaMdNnTslrsHkI2c0dlAt
pt7eNN9T4tkVaqeJyYLBBok15t1oZ/OZOwRLrYMO169GSsk1DQTqjApqGucOKzGGnlP1FFXOnYEo
iwIqz8Iok59Jm6AYLYMXX1fudaq4sdLZPNo7bXIJ4m8w9l7Hn9hb1LMspQ8LAMMLcaQZZUZ8AiFS
bwxD3wgL88B1E+SaIKbS+UvDcPIW8EcP7mQQXFTVB6ajYU5JdBB5GW8VuJKc2WhYW7xlk8+NqdF7
7ubUqjcI1knn4JRh5htBGVN+L04ZZnGzUQdWWOZlQKS6teIYdoXOX+PhMY3hohlDAZNxwZEMqrih
GcEq7Gko6yyB661l+r9ylWs76JW62v+yjUi/9WVKPjHH/M5n8ojtqWdlFZFmmQpiZJnDYD3CTw0z
/rNwYESmNMuFYS9XW1dQIwULYhUhy0p9GG4DIUq5WtSlNM2rK4f5Ql3vnzpQh7ha/7IKOpJn7b82
yPAtMyYDxvQTUqCc6dRUPif8YkRHnxApGDCHuRDITUx5opFgrhAxqk1nAr9zsOvbyYr8l0DJz8iE
kKkNFOrQrZwtTbSzyRFFHAftfCeacrdz3DsoQ/fGfTYa9XExx+9kaoETSl8RA/1ABO79WOCmISWP
Z6NThNTR6NIIFkfRAlbiHKZRLZMvvkcmm/m7qTCg9W7tbXCXEdiOnCyI7O+Orcck5m0Wjxjr+HQy
TeiS6HatQ+x3ZMiwqMwZUacJldWxQbBfrBG3PZkpO1yxiCf7Vztq27PUkCs84gE2fHxrCX1okQ9t
mo4MK0mzQLLq09IhAfcDotKNVFLnyqf/C4KlH19M9N5nnptfb0EbZ7RsHZhbsTAoBqYw7r7ImMTl
ROBsRNdf7QwRFBzBUxCbT06wHKcijnZKuFgw8Fw1ZLRvotZ5KjP302L1dYycv4K0ihE4JnL5Qu3M
shhDzZi/tVSIyZ22xqr+DF5PPEG2K5UF4qfLrpNsP2y/f01NHCdTUmy5Sj50wIHUaQaySpWQ4fuq
2Yk+4nZF8utK9p0lmv6dzQXCvPQ5HmjW0cLNXJcnjUWJYLThiZxPzdQ4e9eAAXezB1MxLo0jpWaj
YdLMy4jzgAJ18u5YALLIUMZ+cQS0XBldGHlfPV4H7GkYFIfM/Znm6MXLqGZk8oSPCWFJnZTbDh5d
XgAt7VtG0vE/lul7BNUGqVgOPv+e2Rdqhmw35OnzlDPvk0sGizst/+Qq+1ZmYkDdg0Esk/KuwfBh
YwmbqQiPpM0Bym3dLGR1+beR3atlmyK0hXliBg18AWDM3HrzwdVRig8Z5Zr/qd2HvKHa4LPfxuSz
NaJ/XUheIqurPiEL2jqaqBzD8Ck4hItGE5csMWY/ScsLZzFoRUBLgdb1/NxV6oU1s719a86P2K+h
pi3kdODjgvVHH5tz/k4eHYfvPwfJ9GDm9WNnRsM+rwhFy/wRZ/KalTYkHrRApzur3iGTluA0tRCI
a+PXdXwceCnUG0TQ5NvwrqkODXkSPcaxPx06DMQbXo6vfNb4Bymh5gYk19CRsdQXw1m78IaA0r4X
1i4HQcdP2P6CANubnYGpxf+XwY7G4MNbTSIk8du++CeYmIQwsXnOyXlIZMZPSz03s2sZqHpd335f
Cr1gOHH70G6KexuL/OKPeu+YzFcDt/4YqACw4YAKRww/kX4J/mpkruWuNajGrx0VlmY0qt7bFCF7
m/Dbeenyx8i6hexDz0cIDMHEtK58j48OMkjmjHFw8QO7CQ3CaA+6VURB6nWEzhWrI8LWcNky0/rI
nwM7iCBu9i9yzF+5eP+5Quhz5nAE+kDfNvEa1hFNqynftHhzOL1JJ1z1BeZdUetXs6kRSOWUDlmG
K8aGHpVTCrZCD8cmIrA5xanjpi9Q78THaC6r8SDZkEkAW7fLP23T+ceqRrPeSTF/BdFbXVrPAW7n
NvaGrQ1KOYXkuTdwejMOLw+WK16mTth7af8GwfhaS0NvevJvF+2iHVZ1smsG7zcVVr9xykBuraz8
nETmMgXId7JgMRoPrjxUORcGcnjWbjs6T5ZzHUasdC6ZnUKPaxdWrbPCKIFKG7LCmYQ6utPMlBvg
nebOWrq10BgRewBby+bqcfQ0J8Y0JGzG22c7x0QbM6ZIcsa8aB/OOZAtIr/GDXJRefgSFMl72lfI
A6a7keb0wWyeqIDk7HoKifkU3GGpPkEyZUbi0aEFfeMczKb7grPLQFqmhFhwtAAuWJ0ZPglB/l2H
Rx+ZdTbflWjGuX4YGy/Nu+IMPPgMk1oDU6s1770GkbA1ME4hbC/dU5aD+Oq+QWCCyjI7c5/Ri1iS
dKYuJvgBUXrYITEPAdpOAJrqfPznxskN5kyxZWyOLJiVd67s7M7K7Pu+SNIDvuJN1tgvWcA8b523
30f5wkh8/VhdkzSaKPjuKqTahffiTeMe4kjDfDJ7N+J5PnVWSbaxl5+C9jasXv0M8wcYaY/z1Ym4
SAcg18QGxxPf4aSm0zgWNqX4+FvWJV9jXPCYEqvFo1i9Cp+lNV7fxXXGPUOKedt1Gai3nqe2zUz6
ZK95Lx33ax70exORotgM5VuEZByXQ/HAxZyhZ1dwIugsY0nMaw8TJ6w9jMB9W9yN69WXYjppC/cL
50G2mwQBz+XNsmkpMPrR8ZVOu21mvMEOGx5yBGMoW32qSubKy1NXMjD0kLhYc7scYYiJ0FzAg6Gh
OmBuhP1Bh9GSQFLEwF6CUby4LhiWRbY7/HZv+HO3ZeqDpzUJGIadJA3BAoH8M1b7juo+ISB8U0wN
oc7GN2XNb7Sd/lhA8Ex9jMS2H4WTSP9aEGHJZHsXkIqo5t0HQ8TnggjLggqjaDgll4rDZYxr/HvL
w6z1abI6ktRk8gEpizAvsLENAk2rzE9DXAJRYeoh4FzvWeAETM0bcr6bhaCtvnrBZsDHYC+vKrIf
fIWtRuTiH74MuMLm6gqpWGxKOk0eisc5qD9h/Owif3j3Ih7t0ocCtHgH3ZnneTHw37lmKD35oYY2
7B02ARUKZtOxr5DRgJo5kPDS4DueBpzJKzaeqGWgU2RWBVjn2Qw0KB1kEuaGeM0rZoBdTV1NOh27
gLL5MPtyWzsoPN2ZoXpp+J+mmrZtN38W+fTJZYu+ATlHgmUfFY5P75mn34Ua7sgm2WvLPaIoeCid
5bMZcdd6TnHGSkbtgJMKlth9G6CWo40Tu8LoLro0ueURbGyHmf+7Tkssa/UzoB8sqTXiSnjPLV7s
iR+jLy+zwmXcUKI1KbIFPwGZ2LGIlLY5HVfhX+S6Bq7yyCHv5hZ1M6y2tqIVTea/ZvQAK7QNIcsb
jSFORnod0QhsxoZIjaH4HflITlaJJj5Dl0s159814AfYueRIqhCiM3VqvY2Vx19eaqN6aLkrysHb
5G5zBw0aEBZc+2jssQgtcubBYHsZm+Wra3J+dhBVgW0WP54HJkWClGtx5UHVY5/Zl9wmC/PckA0M
m7B++Batf5aigTcDvU8vgMUz/mljFtraKDp25BahHuS1TVnSVA3Xdk11lY3Wk1XKey/mCh8CJPL2
rU7BLbDHcwmSivv0xjLH3UBm+uwqgiVla+Fubvj2E3WLaway4r4ncNp2X7TrvbMMGglNxtamWNKF
WErHkICdbsj02bf1JYJjGBZ3eUbO48C6dKcwC88oTjZdzwuiiNsCzPcP7+CxjVH+BPhjmRC+TtRM
d+jwy4Xv28XKU6YVwS3ilnXEOQ36zxyTDF+N3aM3MwJ3XaammSoObAG9Y9Ia944iSikGwwc6xGgC
SWLCak+PfwHvJNsMBNViBjH+5Rd7KqazJBp5g0SPc0yEajS3BY4y4Yp4Q3rnjskaiXHTa2m6GWcQ
xbatn00zvwTe+GBNlKktAEujw32TucfEe8ubfgzHlukHBJ1QrQutluj30vTKfWOgUEKBlJNolLW7
xFs2mBvTMM8T3j0zBanVT+4B9IkPbGZLR/oaK+I2QKBz3daSOjTLWQF1227BTEQ2C3yB0ZkP3VDd
OXBtcWQ1P3JKqScHJ9qkkkSPpSaHvFjuvaq9t4eRZSBDnr7h2o/bYt81xrDzidggEjY6lXCcs5Xf
ajPIAeKKezSNXszJ7cmGHt+aVILZMexkC8r80dEHq28vbRbtpqz5ItSsPfkqWGn502tmTghrWpqe
QB6lXZ2ADV0zoiVp9Po1jZxwZpJI3mQX3SKFhNOB35/1fs8lhO49ylixl84vHCMezWV+Rtv7g8jP
4WCo/V2vJ6b19WvJbmSfOcnfecI7XULkAEr+Ah6BdzFjZzdoZN9pUHwuA1eRl6g3FTFOrsyL7ern
RKbLAS/u0bADzM7WjG4EUkEIesor3OqY1OdUeW8ewp5i5uiCWL+0gtE1kAkW4HO+TyABRIN8aC37
LSebgpxXrppMOaRjpy5z2SAB6D4ogqGZC8CWgJzQVMiGiM3C/kkupQodh+dPUsxsqjr3N0A3Rl4T
l+fR6J4zZtzMXtddwfKU26wciHe74ty2kdfIsBx9sZ3Y2m4D29iLPr63O35fR2IJTku0GdaA2o0n
PvNJjLQM+VtmqCsTnMViHs19CzqXRiHhN/MJbS5QkaWijQ9cL0+lEzWMYSQAPf7uk7etSLADx85D
O5I6X6Vyh+Cd6PnoCezRu3RXauxksfUlfT0EH8M8VNQBlfclSOPmPETAOqZ5JkJejvvS7K5st8x7
Rp4XlCa0JxnAIi8aHn/bMuDhI4gh0tUOeei8ke0MyI7pX8pCfdsqLrHJs1ZfMapdyePOGBLVRF0B
FibVLmR6hiKogF7FwO0jYJkM3/kKcuq7LWR2kc7fXuiD6uObHMqbw9XtNmBHS85Ju4GQAfp7V8hC
M8gmxjQndIqNAZkuvTeHoxiqbbOot8rtCBxD7WsKprYYEX4LtzvUc/HY6/hVd/DDHNdvtmVzlw0d
qdUOTLKtWV4GlCyhv7Rk5mryODKfK1jA6WWscWFE+2suUbzzOvue0utg4GLdcMEmUOXiO7cAk9ss
NQEibI7khxuMkPRRok4me9a6Ps/9eckLHKZ8mrCI/yamZiND9mNnpi7rmvlxMK2nOmpfooK9ZmKM
l5Q59yTHS+vWUBvNtTbkNM4hVLI9npnHKcjj2ygGG+ga+0mBitNNwjNTAoJBWvi8zCAfB4Oorwol
iar7x7pob7Bz34coOBQLl4pDPBdfV7nzLethgeFb5ERS9a73qBnxbJg3bmy1CoImc5dHqBDsUZFp
6rF0cRanRax9xuPLjCKzEL+5k8/iJcMuQIBl6QfUY8BQ45qhWD7hIWQeeUG89S2nls8u1l041tFT
C+IQY5wR7I38D4MstpTdXeq4f7OcTZbVWOWpZ9NtJZl7yb3yJ6rLC13qX+XXd1UabK2UwsDmypUQ
8HM/+dPHwUk3rxPxIdJcs8Ld8pCboJ3x1SNtO6CPIG6p799dJE7kV4pfqzDuF1P8lRTaIn00Y7O/
wGX81ZyHYa/Lr8H55zPU3vqtgyA6JsAU9MFOT4Kmz0zI+aWXxuQnP4a0+DuLI5QGtESO3DRjMdHx
wOU0rQMdI8S529zSGFdQjypANijZ5Z8ZFuoB+WG0XUgm3bt2fppycI5cGX/zlPLRN9FRSE8zp7l5
WGrP1rPH3JLNObXjNBCit4jQbe3oxW4SyMxG8JiwXMXxx9AwheaAE5wpIotUZIV7vXhyUwdvWTH+
M3pQ5XyMlxH01o6sskdOsZzTT7xp9o+nKGU4b9Nfp9EwnJtZ7TyneYfNiJEvWN5FXv+x+4knNlqh
uLxOaU+R30E1InrkxIdqYBxePUZ+R49GgI7dsXZq0PP6QOIjlb9ieAEGEulXK0j4/1o9h8EE1NS4
LL1oXoaEKbkOivvW2Bcity4lR2/VOK/od+CYd+RujzaLwTrFU95kJ2Rjz11KuFdPqiHbPOuaMC3c
iH42z8by3hWAzBHCVMWjqbp8n64MU2/WACc7kt59t9nBo70MtZ4O8UB/nej8Pu2cn6YwfzSbS+Kh
bRi9TDGtE7jOeEZMmAU+ulUib/YNOPOwMxZkDN6qoFDVwYiNfddaA/bJlNgaRskDDIosYfrhdXsn
l490ex96TPco24OzUVbnQlXknZLzWsMtqGoP8HTfPKnYOuuYEcvSPChiTLjQSDWB66AhbWZ8PvMH
3BSAFvyYcU9nESzejlQed6abRnPUwPDL7jM676ptFRGTxt3AICfKj7GeaNuD7374qUkruCd4AZNo
8NR43bWdli2wx+cKc36TEQYTu0TkBiW5Y4Sh343uygNmXzr2lj5EJB+RxXsxVLkwdSB7oBxfkoZn
ZPSYL3XQoARZKoToHCh4Z7YFcghlggo3K52/vjA8SAtcD2bM4N70vv3AYY7FIQxVxmF6EaTHPFbg
Njv3IYUXe8QLwL8wrSeJWu90YyfIgPZt4g/rCxK6w5y9KQ3oxPZkdiwk8pTG+6Dqr5+ZwCdzG5zm
KlnHgCb4IeRpbDvcE6zVPVqSB0YyMP2Jg4Bm25kHM4W4lvXGU0z02bO00mMsaI1z9O9H5dEzsfLe
OYYt2Xjn7NFiPjKyectzpPRLPDWvSx5YV7+S7IfqckLIYC8XZ/1FY2s+VUphFBHBnV8NwV1qD+eq
NOZLOi2/2A6TU1sX43Gc7H8+ZdiFwm26CIPEtcDF100NZlAfQCo18K69aOapAPq6uyDNxCoS3Bmz
eMy4FnGTR/OlREgEv8oFxJ214G0qkGaCMIcFvR4JvhUTQ4fAvxwOBWRPQmINdlbLlquVsEwvKUAk
5CiaRnE/d0T9IFL49tQtEOqzt0GIeARhum12i8yAzqb98kmf2Jgm6QT9yLIAGh0aGNVdl9hi0JqN
Do+WkmE9GQQKD6dFWiQkzuxKzQxqYIbPfhZRGhpcIbtqBR4WPhNtiqZTbJF9KRq5U3wNjFqrF+gb
9p4RudglvE5++RKQosMxK/50c0UkwwylI9E1WRNRhw6+fI/NR0WzsS1c3yFddN4aYGNXV8JfbbHa
mkcLzEPi/dUFyiD0uBqnPdgGTiugdal8EKP7BCGti4i5tsw/ccNZ25i2DEcPj1lbce6M9bnJmLiZ
SI7Dli6fZQJXI/HRRBlW+aeg0E3IPuUe5EfxfMTT5RxfC+XtZTF4oE3L5mLWML3z5dlFTxK6hv0E
GBWkjlbZxQL5u8F1AOp77pMDOcMQxElzIQYFfOfIqLOoEexn7FR7yZ8VS9aOLUAKVlYBgU3kyLZu
2Z/y0YC9h6bEFtPbBGad75lNtRmBCcQfitiJ2ASgxC7C0rl7cDqiM7qcJLcs30EJhQa0DHrvCYwO
nbvS/wbU6XEW8Tcyk1AMf6Ddcg5QP5E0CAuW+nBHHBckB3xCtQuJ2S0ulttcR2dZzsQzcnA7BO06
BVNQzWxkFXgFKoV2JY1dt6hiL9GyPNYQxVZHPZwl/kbTEGyR6gUNt8CQzfsZgM+1y5Zn6Eg+e9Bj
PPOTx4NTHFDGHLMsZiOk9HM3kYxITiUa6xOm9zv0AgKmoTedxOJviFs8Oezv0lkbW3fCngIb5waJ
hYt3KI6F0YLuwWC4yRcTCRDbLhFMrzjNmPN4WbQvJsJOvK5oIB0NOwALil6D9MRJ0/o4gR9GHFuM
vDp3r1heAy1gcdlmnJK6OzIGZsKjEeRgF01RCZmUYkOBcjQxdh7hJe3sWMyyoL+TP1Ksu0g7GW6B
ngoelYpvkPRMz+VU4o7MtqMAHILJ/suNm+IuTpd9P8zJSdq0Ekkr0l3bBycouohDnKg6wGj81xIN
WC/2q2llTyl7gYN0mfg1abUe2TkYDY85XhdRAIh/KckjqUvKRWySUdip0ePGTm/4PUIPUTC6pE8x
uQz/bpkRYD/JrrERcfihYwQE8kT/QoErCnLaCYkxBYj80b5XojwsxXRv0BvvreWBVhw0QClXKBLn
rHli4IpiSNTZYYSjyCTpmk+CTqVbsq0XtGfE6tZp0V+xZmHW1JwpHa6OTGbP+crC8DmpQ5FRkNbL
ky2qJGRph9zPYDPjzo/s74HeJGi6pocZkyXVQXl2/fyxkwtrG3tMd3bFAWc4BBIxhZ04kXS2FZ0+
eG50gWUurz7OuF1JqhNSh/RXt7galAMBofLxgpa/nJjJyeejTdH1uTLZa22iEeveHM07RgzVG7Fv
d4GvzMeDLZmuRqP3xrl+KAeDlPlZxtsEgyTX6G4CCQYFUhABrcSDNMb3HKTCrhpJkW+8+3by3wha
kZTXqy53QSoJqAwXt0aGRru/a2t/9XR/AjrYCnYp+wEDGCOVX0A93R4HoUs0GhOMqUN2oYP8xAId
/S4Re6SFrTbT4Uje5RU1JPuMzM/3ss6BlHrqt5ji37WCnnI6RQTX0SF1EXWpqAH+nFK1DzC6U+rk
ZTHuiWH7WGl+fhvMRwKPSzyi7InY6QuEXemDu8qLBts6KWtqLuitcXzGZAoXd5bjzudsyl9xoehr
wby9ykiNcB1AoHP0YBV1d7ZF8J6xu9QOYLqoLKisPMNAHrpxzBYnaq8rlvCOj8nnB0iYDUoNKXmw
fLQde5G2o2j0PFuwu5ofsBGrs3KcJ7tPwGxiPy0y+WGO9k8A2ga1IKJWOyqMk+PI+1mJhodoxh1l
IKRqmRj3rD/Hpr85VjBd60rf+gwCbgtW4rFA8/oIzeerRxt4/v/ffDRUoTEsxLH/X9NViL8HActo
Rnp8SB2DZ7SWHzNuvTWRhpR7gjSOKp7mTb6+ZUuACLqSc3qNDNoH0h+QMvUkKxA2HRPLlU4hceBK
xsmDt440bWzcX/Gq0zSJ0Qjyfl8TobvpTFMjXfOiA04cAenUbe8wZ7wmPaFwPtUOA6UyR+P+U5r9
2zQU5nckgUw3ZvPE0Q+hs5+MHVQBlNAWAt5u/cVq7iHl5tcBEjyFiDzmBgWfUwevYk1Nq5fhKtdf
IlhTSdaVl7oFazcYuXPuwLxjr2DRtcRE2vv9pa5IcFR+xm5GP0+ix/LUEo3tjyUcJ5swJJeIjak3
/H3KTCcsCwRysGQVcehMSds8Z94yU1yQdTQmzp0okjeTeMEKkavlfVeBKO86dPl5WzJ4Y1/VDfZJ
krIEW9EyWPEkK4rQ/1lk+q/y+3NWNmtYln4cnQGlYhRtexxeW98SB4BWVMIJK5j8PkZB4vokqwTF
qjSdHF6qONlWcf3ZzIgQvHLYmiiwFCA2rHhAF8sM7U2yRoABsQYlacW3qGGj0sC9PPjSy1/NkbBz
4ZYGBSXbsLRl6k5lk1FvLfHj0Pg19Wj9UcGNujAzUvseQONT54LvBI0z/CUL92i1TXLvze67vvNI
cpNr+Wi94nV7XgJ7H4zMNr25hTUh3/raWrZ+PTwipDqmhni2FUqR2qOkWJr6te/ELbZjBD2xPrRN
eaxLrkNXhxMEXVQ0BtlrK+4sLxnh6CFcluLTt9IL9+CElNN5i5nxhbXpTMeo7MjHxD/nw9mVyt61
doEghn1XPfcHxGw0D3yYHBNb5dx3CtkXf+NNoBGIOhwL7v3aLSQ8emEXVGf0USwzbfOUxjnbSGxM
e207KF8xbxvgUxvCObLsubItPn9KznJgqKDt4glo6VMx0QoHtfORpAnZtjGEJdShjuH9ajTLDi9E
hsbvWDooPdxofdMiAzArYcG+Ia4a0MYmJUQNVm8Q+uNYP5J4k4XpmH6NLU9AiMGoObHcBj/2ME8s
0g281dGgjNAt6j8ONNxjNxKkrda6e5hZ5HXstlGWGPdN0nmEKu0I/zHxdCGB6ryAipssF1JAmY20
bx3C+A+jzOrtstTt2WZb6Lf5fW1bCF1mYYTZCq7MAWMtPLSqQSRZWOI61d4ZAZx7mYv2K+ZV2VLz
osnijFRR3DPgQSm+LDfyxdinSOwwBY/cLjf/4+7MditH0u38Kgd9z3YEZx64DXhrz4O0NQ83hFIp
cQyOwfHp/bEKMLrLB2341jeJQiUyU1vi8Me/1vpWpDcO5nMZ+OlGSJTxdrjyY71zW6wiaONnBL7H
bjahOdrj/Thy2TaMBBw+R+NkZdIng/sel9bX0PGk1k0rbmXfoJBPDBycIS5/wDdP2P3GtQOYr7PH
zzpa1JXQUI8pet7ZgO2Xl/47U57/mfIfQ1ibhzEsqBHnmX0m/hKvx8ENsC85p4H7ZY0p8Tn2sEvn
PhXVtHgis3AXhQO+7Cq60WYRrMUg9pU9eZxRrBt6NZHmOxHgbxH6fgLVsp3RY5iDqvE0TS3XpfuZ
EFTkXvTlMxkmIjhsSByBwwzGxGqyrfw+Io0PnxtFYR6o/BETuUakrK4B6Uy6AtYUXvkaIiOvTtw5
1GrjF/M4yVqUh+60EX5yyutrXmLzJu79+BbsB1zPFmE0mLt7BlO2Eg50qJ4Nb8XLJ6zC7hjKALtb
AxfBa+XJL+Ng3VGe6yUVe03Iydqa9aOrbmzhJbdlNzNqln7xkHneuVd6uhGym/bDjGHcnL3oMM4k
+2Z7kKzfGSSSeEgvvNFOubJKbgSOrzx7DDRQwuVjYKfrQQE9F9FAychsDOtspionjlm7EtjpHlya
5iXDzyrhULt0mYiLk4tvF5f+MZzddGPnxrvDMeU2ZXYl2Txwjmimo+00PKKgWrrskGk9QjmZwXnX
0REZuyS9qyjeWtbdQoX9xVd1f7EDQM52d0j3VWind21dY7KKd+D8WOUXojs2nt4qzw6PIzQtkuOG
v/YUisO0dAPoqsh2ZsBsHrDUWmVNm9+K6l0WHYhaJ6uPA0GgoMv7s5OE0VnP+QnG4L3hiv7syfa+
xuJ+yJVkPohIoCXxjsMArxxm0LgI8/fGF9wtqrmres08Th9gHlCc4w2yP2uZvY9E4Q6SQr2NJVDh
W+xUa6otsrXA2Tp6wHK1zWQUlt4JJ1/PSGNnh+ybvW+MG7V+m1ScPxoX6Ufy2BJp5tiJT4MwKCal
JvhpyC/fZSZvI8Na6MXZO9btTzu38vM4wRerYT/qWQ7XKpfjegBFvrNqjfadpRcZZUSY6NFop0lx
DkmiNd2RDeXlCPCoh9NRuOJU4KAm9Z9mnBzH4GRZJImou+8ZOngMwWWCTNZVdMSYFDjaHQ/YNslu
64krIvOoysNLiLVTXsrFJxwqr9mZtJyuM/vFyBB08jrZB+ZwjFWXn0LdvmsNS2QEsVgiv1zoit67
k0kMq30ezEmueSzXN57Kzs44fjh1v/EsEy9rZdJwH5K24zS4YrUq8NJX17n5xRTKOnfC+BW7uFBT
h+sAjpKmYQ11f3jDRs1xuE4f6754kAqkaAUQnyUtfoqMOEAS82qwOdlM0X2peZPWcnBOLAtWPSny
j0HYP53ruNumHpgTGKf6Wxdv6bIcPuFGebc894ASFq0E3zxqILZ2izBOCypt5R7BVUh0sGr3pH14
lwE+gL9vrdA43ukzfYIadKsB8VlK4krFgca61h0PWcPI0gGvdzMSwoUsf7MYzAxWTE425SvhNWes
BcVNlqxtG3+lSSnMxl0gpB3K9k0a8KJNamTapQuHDQdzA9a0vMUHItG+hO5vWx08x4FfbWtMyENG
isUIseDlHvAAapLXQwUbuzHja41DtSeEs0rJccyOfWc683tPRC+ykh+Y7PeDpra9cT/iHPNFMHlP
LmGVwBsfaMQls578muPws2nQFFG2KDeV+AJ0+0valyDs7tKC4GwR8LttNfyarfI+nsuPBXthNOyu
WnUOm57vDWo9FXr6MAMVLAf3QPL2zZ/SpRvNy/C8QNhz8ANBdO072McxHsGV7U73HGd8pz9zfx6E
CEvU67XTICk5+Xehs3xJ1/NUwp2OTXetkulsU5xH965hr1KDlIBlgm+0B/3mDxRULVeNOeM9H4FU
D82Tj0Iz44b8A89HH/aR8AvdQuib9eChxuCKrju94SwGWM8xOL6W84gjZoMhkfdFmIBRqFlDUD67
iTkaFGhC68h0fZCbCQmsrrxm8cvYQMBTHUHySs24EwhmrozA2ZYiz9cc99cyePRKnSPqIca2mb1g
BvxH7ziqw1TbXG6SSFjh3MOWuPUdiKqjYCtXFU61gfggI/iIhhs9yaar0b4q/gVKLGfjzqf8h+1P
uRacUQH3fNhI/ORGZqrdR9p1ygWayOuN1hShdyp5gBRDqxcc3WZOYwbujsIVf4jvdRPc9Al0gbpw
J/xlC/27Mh1AZuUziBR1ZZUkfLG8ODkLoqLcssW6Gq2FKyLuaN8L53oLMOOnESz34X48mGnNROYZ
DKnpp0uzBbsvsUwFuWTVN9oHJh9iO3uOpfNyDPVPTjxh5+cqmcHZb6U76KdimPdzrO+ZKV86bpoI
jym0AocZmcrNPSe7jCaLUa8jtlKcCtOKvSqsgwbP6cUeRnJX0PQZVbkLxR4iEGBMhTjhh934xvHv
BopP92lH1n0NWFIp+p0dU/O5RnXU3mONBnucrYpASJbxdXsY5YDa43hcwMn9iicfKTFoBhW7RJT2
fQqG/iIgxlrQKZNvOo0OrAXJClrsApzgzhwhHznQTVc4AK8eRiVbE4KOS++5NsiC+J6/mWz7uRtx
EOk+7o6CDMsV8e46GNMAa9Yf17rQD4af7LQltomah818GSF6GtN4jY/8rLaCjEbJDnTjmUSI+4Nj
6cd2nJ9sdnFrjFtfgYUpR9bPfUvqYgCTbQ/549imeMEqZzPzJsd8YzzxPCtRdKIXK2oh1tIYxIeq
o7WC68oTfuUJ4yeoOOyxKfjshDrFRP6Sor6mdX/w6vkr8KadhWMU0lj2Iyp1GxHl2bUN8XJhkINE
L6s7/0T9k754bnTns1PeU9Rx69eUlRf4t+MEOkkXegyh7IxO8h1Bl9l/7K1tP3fhJaOMtDWX2g9n
aT9gMQeAz9Xnsd97GRVI0Hae86XNdiqQCZOMP5zGS2LUhVnA84ZBBfcnZAUR3qXU19WcMnYdxHeI
8cWb8ofsbLLpJfgQHGewh3vQKZQDiubo54qmVir32BIEFw9tN+TcxqnJFycaPVatV5mPUy7EgTXi
50I3nuZAbaKRLiyAIXrUw6WP8idZhuTynBGzQGlVZzunKnS0a5ojxvx3GhUcPZHcoBf8qjIXJcx2
dmlTm9w3i0qHo66nbTeuOaFLAbe7xtFmlhiDWoufUtwNFAcva9EuyB74qFuxdNlVZBahcg937InL
Jxt4gEMZ413aPwjfDY9eq7gmaRdFWsydU6Cp+vMtsKL0A2/cKVYvMjS/RBOcFGz0ZweHnuUHE3cp
5pE6c8hvJVb4xHC68ZM7p4jUh4CysvZjRx2qUdH+m+XLu1kc8yaf9+MQXStLJMc0iuV5hrs/t/ws
IM84u8ThmDeRZz1j8u0R4u8Cyz1Fk3xjy9DvI20r4kIl372AM0k/zTxaccQtOEpm+s4m5RvO7Bzw
W7AemuT4Y6Xi0NEWug4FD098TGfZdhuliAd2JqRBozuEi4gJOSSH0KEdy+UuNeuNB/B9EA14jNiH
7G9RMhc0TA4iVzR2p71zO9nNfoRu9jHbNEgA/mk6byZ35020zFl7IGhfWCTGl8qjH6txv9hJTvsg
z18jZCGK+OjZS1t5P/KwPlkB2GxbfxaNN9Le1sptNDuPnOYxJZkqpz5ZfHs2pxNtlshbfWBh3RdL
4pnMd4NX4dTKpbx3XBOP858mT5o72612so5tXiZ9cgmU92L0Tkyv0+24WGxk5d5x/uMtl1LHQs9y
esvLZg9hmt6PSkCbW+ZjMD0DdkKF0UwYLsgGFvYis05z1ySnLq9PXd3bV8HVvvEKz9v42iMonuTn
fqnZ+uOXgjMA2rhBR55nZxv8U18N5vxXN82ddY78TbzWgdRJ2l5jgdn0ipoeyM4pttmTrjuKGdqn
jP6Oa7L8wrbdVDVlRVyje0Jc8aYLQ94TmaeeAo34C6QoWTcWY2OVtTjEw0JfspbYbunq7Tg0v00a
mo5NcusY9ANiKvqOC01VWMeihlyORaRqnbOc7Zpm3SDXPRX2ohqN1rFpspkAyDxu4bro20xHnzWX
vE83q2VbWLGBOXQlzYfSD5/bNN3kLYmB1sIGwfYSUxu9JEVg7YbWeAV/RPfAuwjoVqj1/I6t7Yuc
ZTGw3LG0CLa9A7I4Yr5UUIOzIdbbNgY/vdJFT+65a/KNMLkdxLzG4CW/McksmsCJF/zi/LWmb9Vb
3slKopDvjdvQYNyUZPet/hqkaXsQhOLsWDTnPPbvDavlWNXRSJ6xbmD33F5NvGM7lQYPodEE5yky
X5cbmtX1+NK1LrZJv90NQRldHE/Vu6FnOs5rnDvhu+tH93NALDNHldsEsoL1IPPkYvPAU+Siu9jw
z2Yg8PSJHKc9hJbYV2w0AF0EJhUcWcGbvSDkA9lA3YwRaXE3bS/jTC6vlemXKNAFW3in3LYnPFP+
KbAw4w6iusoSW26s4MC6xI4s7JjstCHldAVttJUBSBZ18mzgxmQFnn85ZvYYcAAoGnh/2s7WjiTB
yBj9PIZUGRph/dVXfnaQ/BjhPLYbkCViVdDmukq0f2xR7ZmxO9DhlnZuktZyDn52tIw9EPM4eWCm
mtZ8IlxdoUeJhOGeO07KJI0+zfinredH2TTXmB1tJZcPX/BL3AZbTJA2cZYiKD/cFru2j6njeS1Y
GnQqosXCmrpDiWPa2zClhVc7xfAG1HRXK5ZoSULIQWAH0JNp7gr3dxTjborn15IQy4ZOZ1qJpThF
Nq7t1iMGELM/qTrnTLAhvPLeVDX95BgQQfLH+TkxCxY4Ty1kNVaJ6a03O3vP4+QQu9aaqe1aRwvK
alpgFJ9lgyahF6d8gvc4mmus3RSVYN2orz6VnQQCNgNpRd5+RbUJY2ofiurJrvgdIVN/bztviMuM
HAXtLn72k8b4yzB/rNOaBppyYAAb+RB92gc8y6kyc8z15DJx1qTTeCajC0QJe8Q7r3Ax3cRwqMwM
+B5/1w4yO24xHvyVfJhmFIV69DngCefXg9h0gi8lo7AD6x7QNpEsQ1XrI4ZSQEr0JNu1dbRvKvSc
cAB80kyYnJ0RQEQefPY+CJ5RRm/tTO5oaLho69p7U5J0YziKGxgvX2Vi4fmcT3kOiqL3OoBIOP5S
Y2pRiwmpyrF4xIK0CeruN7wxpHcfrgQoCrfNB5RtcphTE/6UkXdtZP6E5oK7SX3Ug0X/uwcRopOM
2zaHrzz29j3ghpsZfYmRZZ2zwwLkl/yYLSK/58JUITZcECjUfvsrrZi54G3B3w2I2rmaXaF9r0PO
s2GxdJULFOeEt3jlcXKpeB41eqlin3Gq+2rFSoAN6eT+btX46JQTh08O1VNTr6AOGZhty9dB8oib
vKxcRTR5MCR2I7+NEEzZlOFtRYwdeDR5epFwuumnCYNF/jKbU7MdG0VXJFKbozhnFFCgVq3ZQ/qr
OcloU91pkwiBhzc0RKEh+ccv9Evc2kF8LiNMdVEPOZEOpq1K+pce+K2s+M6juOdTnB4C9lxu+xGl
87gzoRXgaq6u/bz8kQkassPUTa6SqVVrk3hNJzAR2Fubw0xUalLCICEla+O+M77jLj3Tg7VAiwdT
/XDPnAnnAzQrILowf1z+PYfzD+Jl+S8s40DYrCNYN5s2SbCF//tPcOyY/FNVxbW/60Nr3IRBC9AN
0B4lml/c5TdTgDKDWQnX3gLAakVyHnR7LSz3DbrF78WpfOOOWKCHxj56zN/Y2Hdm9WR55mVWeXUk
GnzBB5HczOWvMh7eeVU+ZLSEs34v74XWG2goDIlYGXizBJX/q5cn2Jzt/wVjLK3/k+HKB/VdU0DF
Nk3p/wX0O/PM9JNg9HdM2gvDDNxhFZFDnBzMOtgBMOq99RQh7HyTnlerr2jhbAnQG6UDM6Dn2m6c
S9S1e5QiFM8FhBzwBLPYg3GgK+7LAnnEClHOYbKxYjTX7lz9wleRVyXgFbZWqX/UEQnbhn0+BboF
j6DyZJXuMdfcNE39mFdYPsaFRtK62X1v5e8gdN6MfLgbDGO5jFifoASShQhfZv7KFULtKUmIhkwD
hr0srvdBSKVgJ4dmh1/aqe+YNo52uTMFcMXOch76OeMfj62jYS3Fl9XyhOGBgQP2hAORPKeRonto
/u9k0WSdnGHqCkwxEb1htAkwkL38ceNUDiBGsEVHa/JfCS7AG9pGDe2iNuRbkDbrxnAPynPHlZfi
X2hz/Zhr64DR02PxSW4FlJZrxa+tq2/nNPsBnPNT1OlXJUgQpty+lmoNsqTTQUQIFbWxg0UGn8Ll
SjTT/C4Ppm3rph+6WmRYMlT1onkO/bhH0AxWqOnsP0zaGCRAgPzJDtaw48jS9AC7aoOQwtjfD4l4
hY+Hg5JVCM818TW2dbXxlct0Y9rHWPAvWnziVP7ZU/A1/mf0TZHvH7fXf1BnR6dvodt//O0PmPVf
7rrAFgG8fvZMFmriv951qmhtLkgb9q5PP+vMXFGx5IQTItiS4HIn7OdCylC/y7YJd4RUiYXxSvfx
ZZOIrC/+2P2ePZooG48t8pIBDT3jgyMQueb8p5UNXSS9+0r2GgSKS3AjSPZug3fDTEtzHYMEUgRf
UZH5G0oyssaCPBhzfsupfwoa+TbayGnhBsghaGxfkddeQlLli5tG/OO8HEYnfPPG7ilcoiiUjpc3
SES8JqBsgmrhYzTtUSxwNYq4sKFTrMo39hA4wLVt9q0mn9RXMIcmVwJMYTD9988157+43QNH0obg
8yuY4QW9/U/PNfr5QlCKTUC3yVvcJ6+yOuaGPk0uYlsas/qR0u0xueQH2Iagde1uTQcwYr+cBMOj
/T60HIK9no6MOlvrvge9F0dfgcNSpzNQOMsUhkNVvaDpsUYb917Sf0UJd2j+6bQwRGV0sRp7D63u
WLX6tVBcuYH0Xn1z2A8u3xiCwUTEwAI4IsTdkp//eHcy9BMY8fI1W5QDX+1XXmF2q9OPpGA68pOm
4F30/e+/WUvpxF9pzKByXJ8HI7hQ4uL/+s2KzNhwpauC3WiWH5OVfklshYBqXz5G6o5uJKIxbPD8
YxrCH98ekbFBAgOb3YQ0AqyF07/++y/I+y84zUFgm2J5WEsRyL98QVXKzcHOJ9h5GMEQb5JPP3/M
M4hRFI7Ww3AshPE+9wA859g/FOGxq5pH6iQYs0xMfPjnOd1ze0yW9QXk1ExjtgAVeZnO3GS0/axR
uD4SVR3tBcppm1BNQ995s6B3CANqP+j+39l3mgyMY3n/qvzySMsMOTved+uuDSSXPEyoST2Z1Nrv
s5pQ/xKgyyk1U+VAb5QJb9ikHeIy6och8pr7uQ0vgwLg6RoI5IPV3Bi/C59wFsTZ17keows+QSEX
43eUM9qoYG1RnKmK/Lw86Kya6623k/do5OznSRoO4omXEj8Z6HMfQ+U8xtX89u9/DvZf6fieQNty
8B2CqYUXaf2lbAFf5gwBnudUyVe5puKMbgrwtiPrMe1l5yp7sOv8PkkSykWhtojiVxoy0eeUMNhD
Wt+MC14Z0YNqnAmElcEpIIUAm9DbiaaFogkeGueCNfjY3H1n3Wp7WpoMNtQTKUa4595lnKby4kvl
pD+NurwfWRGslzo7/G9UoSbRXbvcnDCb+EZU/p/Pkf9fG2UgMNCr8N/+x3//81W0/tSf/4Hekejp
9lN9/+Nv/7P4HTef/3FtPn9/t/E/d8r8+Sf/rJTx7b97PAzohmHLCt9dcPv9WSnjufyOYHUlA8u3
PfSx/90pI4O/S9fzmLZdX7r8Ga6Vtux0/I+/SfPvrslfFTiBQ0+NCP6fKmW8P+7+f3l78sVJN5AB
/5YDPv4vMyvPGzcB7UjzvGzbl8yfFlk6CA9+V1UHAgQWugTUmx6XNM1phbNzlFI7AJ30hRQFnOUJ
f8oNrj71on3eVTKcOKJXoHwAtpon4kLDJgvT5lwH6W/LUO3XiNmTBKVF2pKYIf41EgMwICPC+br1
uPpFN7yZHfHWPVac4OTCA5kYIuAaYa4m94XfAvEkdMdPEwLglkIqAj99UhiETGjtQul0Ugpfghg/
+ooWDPGbCdF5org+uwnyJNoWFDRsdTa01yQnssbxJQt/JlZm5LDIPGrPbw+d2zd3xP+Tu1qRG3Fj
v9u6ga2vEfygtdnBdpsMgFFdYbSXQVaRovw7LdalK8zneAiIg7uWfV8JXw8oip7zAkEhOA+GIgDf
5x+kNMR6tMxuTessgoSTw7fBKnJT4ZK64h+PNtXABOV1S0I7m4zqPXJc/eTUoloHSWmttSeDU4Bl
FFPd4Lzh1fNf2ZUl29AO1ZFlqv0c+1bylEaZ8ToMNbYPzIB7AL6Q4EaCmHWJbDmnYngfMLMSrRX2
1kIHwJXhq+/QNbpL4LnLeZhEreH1JO4cwghYwuNLVMrodg6LlPhF0LySUCeZmuL+aHXa7zzanCk7
JyoprCh5xCIEdaRJSDR2oFwI4yX7ae4WiBGI1CrLNI6lSO+KVqMdROiA1ogumlYAZuCp+GvUs/iq
iLVR9bBcAOxFtzADIXNZrYIWJuTNnFGo7BpjfokaHeygLEevjIUmDzqYqBfDVSAgcxYWoZWTDu3G
8ToP9XBuNemEKdLGEd5tRHVS2t3boCN2AS2M17JsLGYVo0PZZdsa2h6MH0fos9dChbBQykg2VDU8
GA1ArEBFH6Hes/u15tcumEfIfl5tHOUQqKe5wbvPUgLaauqWN11cu3tXRXDpNHyiEV/woWoUnb2C
ZSpCRHtD+x8A8MoyQVCZFQFqBI1NNWb50cswsjcYBzc6JfIAMWQihYxuYX0UMlXEeQ2XfF3IaZDB
amRJUKhJsV3HpogvLGS11LCw5CIJboKpbk621fS34+jPO+jbYmNmethXTtScRqsI7ygCGPcNRSXn
qWziH8V7kzsJP6yE/neeeNHezR5iM6mjYD91dEKkHK/XDR6yS4Hv8ZAXaXwSWcUnU2UG8RIZ4WRW
fnJ0U+3s9dB1X3RF1A9GL/1Dr1Pj2oaaVJpHl0YQuZChqqSjqUTnVdcdYFizrMC41sF2iXU9w+wy
vHhVTsCGCeirybjakrpIFH6OFbvUkEColWgxmMecmXaJzXkJOyW9w6YTYKGrYlT9leuwfnoJBs3f
RTMAi1yYBR4HAsxIlFFaunuyafZ4UQE/8JW0Y8AHc8Asj/bOQpUpC/qV74EpbWgQegRcgHPbSeE/
TmEeVUendHOmr9Z5873E3xOEsm5tWxsXQF7EzIdc2eue8aXYtmPXGBslA8ITziyznQKR8ylTpjR8
bMZJyykAjmZFEeZvoi5pWI7ljRtH5VuJGryTEnRrzNrkDHcZ9Uap4gCZb2AWNsORQ0yZJBR053VH
OVA42OPBTSdyCsFsGfbFp6poaXmsbjU5uvbGI5z6mmKecU+A7iXtMFFXkQHIsb2ClzGqz5br9zMM
zeKlGm11GNvCeA1TBdZ64BvGKpX2lO+J3j0JP70KLlHfv2Uq4IN4CX3D2F3YDCfEMLt13vpxzhGT
S9WWJXEE3UHES3MdbCG7my+J6afvcxiXgOFkYYX3CCfE8euYL6VtS6pWZfLYzI74iqJ4Agot49HC
DhbUP5FqLbFxet29N02wdH5wHb5xvLZvs2Q0f1tmb7NDDa1yH0kx3Sb83D8yZuO30m76fStLQLKN
IkLdlzo45bUM1rPVunDUc0BCPpJuKAZtX+eCLpg2M8VV2SiGNrivx0nVNd6goMEwwfmhuNGs1hIe
xSjw/PSQTuMIoqytfCgKkX/gW9YQ1rfb+Zk+cS89+qTIDnVaJ2sRGx+NtEmAZ6OVuA88gpP3wUE8
A+rhO1i1zW7bdkFrHnTb19FdZydUHuQ9BmUaE/HAlCDaeapMdk5Oi2wBtSXRfTw4A4KrHJ/tVnhP
pZbqGEgSIRA8hl2l42RbWZG5p+ZsumXV32MqMJoWiW0AwaYpa7FBdW0m5POT9IAUM3QY985kljv2
wWxVPL7JW783DDzdUdg/E5i+GDKCKwqHnh1/hiR/S5BeObhFaJJAOO3VQvGys59BgId30nbazbKP
T8UweG/eUmBkxKzVCkWwOmLV+2Wr2fndaVoeS+lTapvbUFBhxCUnaZQ9m5sko2AZcEapx5PlChVv
6Z5vxk9VDcTpmoQ19ovsQvepDpoRtBSF9Bn/Zmo+BJjuIa0hKmp/5G0GVT5JTha+P/b15RSpdcMB
TLHZQ9foLKLvshypd3WWx04SZQE+I0jTrK+zUW+D2LLe8VKn933uswGq8rZ9M6BUeZBGdABm1cSL
yChRHxtGy1cjKTI2qRjtMY5lbbtHh9Y7MQHKuWtHQWdwgqhGPwvWMhyfWonjmOj2y7Kq8XfoFYm9
Jws/ffdIlx5bkciDNgoIkghTjWMyCImphZzEbyYy5SuvCon7NAT/wQRqN3/KRmIXm7EgMh6uHAaG
VahyZ8GJx/zBpML8kZWVIGqReQewTxUcpaY4WzxFdl5r8Gd0wsZl6LKXsYwt85jExEFqI2JLaBns
2PtAHSTv5TVvucTYpX4dshJUqWtvoc9rGH+FumfHyiOPuCpspzAvRxNaZxkvfpWuq4AeRKB+h0i+
tjEhxQIe5X72q3HxaZhfmJERbq3RwDrZZYwqpVkc5k6QZah0s/EowlhTh4JxJxQwwbLGt18xAs0V
WTWbRlILQsrWVpW3LlqLqLsdp9M9wEaAulnT89zCj79yzNJFLsJfW1cKYdLH64q1OqF0Xnngr1AS
27V0yvLFcGkZAozNg4hDthS7rFItX4VTP8yDi/+D7hfrtsFMfZOKivzGOAVHJ83D+xJYxzW1xLxr
SMHcuNGiC0Oe3jsOFFAXk9pB+B0GqMD0rfeSfOJaB7gBsan6NyoJvcsU5/FLAz/hxuYa36q0CLfU
VtU2cJxZo6tG2cnNGnJ3abzM4Wkj1kEUmwdhO9O9PQLAAaF5ysv8GZCU2HWhkHdmJEx+6LwpS8jC
b7OZhMekYSBlHGouaQ65cXKJjTppkO1Fks+/EqHHt05wRB8qXxxA8cF18iwDGuJgAu1yo+oMCqhj
A1ZXe8NOz9QGXPuuyB5c0iyrxB2yU8Eih7gaEJFQ+rjW3Lj3zmpmMqGgxFB7HrLB2mwDv125gNjr
FdcL9pnEH6y9luxcvMXJgws3PXWTt/jyTZXt8Lqbh8Dw33NJDM+32VWQfk6XbSGRve6mM3+qKDuY
FIdsbGNs18U8dzj3TEes4bfJd8PL2wPA3HANe94hF5paq34e0NodlScUVSzN8AvaJGHxsw8zSnR8
4ILPnsGiesUVxMDayWbax7hL34RTgWdOU+Pg4FxYd9EIZcoteW2X7ElU18rXaO5D9HRVlC/eYIpH
KxHyQCzQ3cqqb46qkMSK62p6lhgAHtDTs08SCKRVemg1rITT+BIrRikxV8OXlIAPktSKflWTGW8L
ngsbB3/RuaDDi9Ng0u7Nxede0W+yN6hTPzRxxuHCzOjxyCcfMQ+DpEQ0WxjIKRs4OzyPgnQRB7UJ
7pxb8BRDJnnyxiR9Fxa2pahJx40MNNaGQLdHhTOX2in/TUYtzbkgjbsifKM/1N12DoegQS6AuXxR
48alH0QP8zb1sfanI4FIqBzIwWzFjtlIwMNTNCEAo5WXpCusk9vExobqxHw/tlH0Ere62YM9KY++
QRocemV4lmnlPgcEXW8nSGSY8sf4UHWu/mWx9z1nHZgY/K2Fu86GoT07bend5/lsHqDm5LvSaN19
ILE208pdREfTmBkp02gcb2dLwdyXifOcOWl8TnvtvDJlVgtt1OftOPuq3GEaHNwVYQpa/2xTSV6x
unydO0Y538qGbazYYLUcyU6uRTl0Sun9TWvVCQmFtDxhA8i/2WINtx58tY+pz8xdVvpmtrEyviK6
XDJ94xWj/eb2KXm/xA3u27mnVADRZIkARq9BGC8VSkbx1QNyolXBUuE5DVqgMW4HGgDYXLON8867
ZGlvgkccgg2RKIRkRMHbvJPxxhR9dGuGbvdIkSjWhnaiIYkczw7DGO96+FPu2kG5/20Y2jqzZy+3
PMONG0/GCHs1fIbSIHDpDB1rYqtuIVSZ7NjjWvM8d/V3UIfBhY9VbkYovt9OgLSKOTW5jiSfH2uu
hJN0q/ZqJQGgzsirJYRNUmSuYl9o1Sz7In32gyR7CPEInENV0D5dLkdTEYwvth6qW4c8Orl6y3sc
SKnUq1H4qJ4eL4zEs3eKcZ/MRJxvxewmjD1LYi/26+SeEwu96XnTPhnowyStdHSXhYF5MZO2P7iY
cC6273Gy9Kv2SVZES93UgG9eabyqRgVyuh2MN0zm8Wee4I7dREiO26GdqseIGmzQ7NiFlWey3MNk
oe76PJufhsif9iLI5ms999EHWETQzFlKOLGCUx0k/YYbJjxUZlRBPosU2q5fyaMT9eO0ytKJVShx
iugYUE732UHzo+mGVcve0lZ9W+uEhIPJoZJ1YXVIFR9w5HG6TmKU+Rwdc01aPd4acwt7zqhZdVST
GB5TEVh89LyDIUHXBHyQHF8I8ANCYfVBTvmSPgbIGwpGt661pqPWRva/2DuzHcmRa8v+ULNAM9I4
AI0G2ucx3GPOzBcicuI8G8ev78Wsuq0qXUEtPdyHCzQkJSqUlZER4XTSzj57r733qwJLQDZULxL6
OBD+In8uDUtdQEk5cMYtrNSJNd9az1X7IY5bdzW6S5tfb0eYzoqCA9827YMI5R3IkzzNk2F+ZzKq
74FlGUBwhrjdxEEnbgV+0H3JHATXw9XjzSDgDoc/rJCTRzQkwkOZ2+1rJYN3gdDzMDSFsyVWjhWa
wCqXcOQnGJxjzLytoZv+yvGYXA5844zYKxhTTOpLvaYhxAs0GIF263F+o1wzTy4MSiH9EpU49E4A
f62afy2MbTxFXWrxyKAbVzzkg2QxabhWxZA0V+a7W6bWtTGoE4D8bmz4vsTPDJkCnMVyCYMxp3V4
E5lJeTd1DO8mAgwBLlLJ5y6XIZt2KV+4DRS3ZBQNdtB4+G42db2XSQ63DtM0jDDsceUxNlzzecDa
5WC9Xd40Jc+DD4GjbJcEDfk4y1WGXqUmTAm+5E7jkcSqetBh4bwbHX7oSjbeUdnW+BpM0/DsVHZG
dIq6r204V96BOyET9pAazZH4lHqfUt9+CEItcFcHyQPPRf0OAtsCogM3A35vGD/VIyDKjQlQ76NX
lJKAO8HQIrQVQq8b/KOVjDTMqSa8ppqeulUxMl32nee/CG4V7NV75XwpCZJwtu2zatclET59I2oA
1qX5WcZl/+LXRAdxldnYrB37DYcY6QQ8TAmYggqsJrQxVk4dzkYp2vpQwLw9pWFBIDgaJAwY08SV
ZgnL21s6KRcTUz7jPYoq6ulVcooHZqP16E/Dd+Ju1aM/10sGvyMOEJnRy7jADwGUCNcFIzKbB6do
9C6JXOrCclh4cElMzyYzWOT+waVYjMPFMmCgUFGHZyBe7IXfVK9dmXNGwIZCwdNI3R9JFAxcMNkY
CJvDkNM/OXkVUfppTiumuyK56qgN7s2MH6OjyeyLReJ9N1DDcHRJ0J77FBbdbDnetrU8OCAtIGHX
CtIDjt3mNi2uGRYhZNOHbjqooacVBvMrzA2/eFNso/liyeBwhCs3uhwb6u4qezu5A9fA6JXOFb2h
/k7DTvWDpyV0M7cqLpC0OioT+JFzMhjqR4CEwVPZgtsp7XAA/lIvjAkdUviDTTE9MTNS/IaawENS
o27zyAtztu5jop2zbFX6OE5M5eCWYXtOSvdf8SmSB7YNcgq03pjWRaSl8Z0HLAtEQ7dYknp8os12
sCIOkCaEH2QC5dYmSYq2+moTK/+YC7O81H2f3qkG6A+D7NQ3M29rdj2Y3RaXlR29zzxi3xXaNQfQ
ZMBgra3q6ERB82xaCjeimorxLRtqyIGizU1iD542v88OLaenUGd0RvGq9mBJS5nd8Ect2PPKcn4k
aaTM1TwGJkbMNMEvHeGzbNfdEOj3jtUR6KA4JVvJZWWdSQ7H18qwvYZs9axurhNIb8sj1tUrI+Ht
2namd+4JkwNXKfnPpnHG6oUAePFoWab6hIREkR4vZWfuCrsHXVSPEhGgJia3KwO3fUGNKC5NA4qY
/YAPFCoJiMEFhfOEXYkEQZGrDLcUeamzckN1L5IaXrwpGTfJfTt7I5l8hYXY8Y8dY/caH3/xVRsO
OWqknh1nWIwNMmBGhHhhVN98k5zk2nVGYjmYvBfoIZqlxQaFiQDgULwvhib/2fa+8b035YSlpPba
M5l0fsiqa9C+6yIMkKixd2TrQRmA/4ntWaz2wzk+2iZ/2crGUnlqpGRlhhWA61rl6bJ952sNj1Y1
z/upM4vb0LnxG10P8Y5ioPrRLCsKcrWgZ7Y2Hoqmyd+K2APukbKqc7F0ckXPAC5gtkXQzGg3m6FK
Odk55zQPpIF0PtT2bMR7kschh14JSwsOEokDDIH6pEuKD1csLEgtYMTeq8xWr8trDGQ4atEOsY+7
SEkJLEkn9LLPWDOCsyij5JIFYCfymsthinPnrHCxrHv+PQTVsL9SqUmRH86Dj1ZjIU6rqjnzhKKK
o2vNJ+5z/X6GRAcJMe+nJ75V3j66GILnqB+dhzKUhINQ48Wd79TmKyQGcoUagyPFUwahiSYii9Ob
k/hJE5uAu80dnKRcEY+nAAgPQFfZ56/KQMfxO6YIio2co525JD1MR5Xnrrf1OW4r416baqaaMWR9
LUMnfgNaEDwOlA3u3dLqvme5g9/fyIIDHd4wu3AQc02mvZJiiw6xxI8QCLcci2Auu6lnfXXnvntI
B9BHlMREmNBJKwgULBkw4Nk2B/NVAMhnawwSpGQj+nPnR6TscDi5n1SaJEe3UJhhtelRlIM5mzrH
mhD1k649bhtgNCbyHLU5AMcy8vhFpQq6FSTE9oCexBogCgYAgpkXJT9JNi5GJDZVHWW58V7xbHoE
rUuOdfAmUnFAbjVh/ghSB374lLRbYVnjESCIT1BpnCW1D3l2LbTxuUbjexW4aXY9/7jhLBN/r+we
YPw4x3TFqnje+6YTPVYVJ5wEd9/zCFZxbw0Ap0pztn+OZSp/JJ3TvHKvtS55OIyfCGpPvNQAl56x
FmEHEyz5khWCC6x5r1L9JlwOoGGinJ8wMvuXejayl7lI+3k9W57eiTYsSW6M040Jn7O0neHvUslX
ZpFoS0MIJuMkbHlDw4p47D2MntzTsXzCos5eClGlV7fXMWYKlxOe6xOjCSmJ3+P7oinSMOx+jyQD
vMzgkn5I5MBIYzbUYlT4CTdBVhgg5UsfYYhVmMM1HM3X2GnEqXGEfGkoH8IO6eeEvOhOOyUi1ptI
FGzbmzAHbd8EVMBPgwVl35GdtwmxG90xlsLamOIBrDG+1D6zoF603uA9SjNd4goA4B/NWORP4Kr9
Z1wa473hhvd1HqbmMwJzwakpCg+AJKrvY+dpUFs9WVvSVYegn9Bmmq6Zr03vwkBR5XBEPWkpaQxs
FBpu12+YPzOiB96YvNYyL+44uhTxZ2pj3jKbanBUNAJbVPHt3IZe02nQHbkGvDJsQxz7zsjKZqmz
cu/QNzmhz77xu9PM2+lxTpqcSmgEy5MKjPAhKBoWPRi03gvTE4cy1dmpmu3yQGKV84Zoq2vtYQam
i6p+mZLKpcw6p6A9a2rzVLhxxulX5Ieui0GEOGxYr1Ve9bwHATgXNY6RpTci23qGyL5ETe3u2gyD
jbLt/FV0LlAHjQJ9TO1iIC1BPjHG2owI4vgbD6vlwUU6RSL0exukeVHQh2GwK66dIdsRuk4OfM/F
aSi7ZfdWV7sh1QWnkW6SS0WzxcpNIQlzfwFXBzJyfkkwyD1V0HT2VRuqgz9IgjE2uEpEOUBX1TLG
IOgQt+11OD4g9QwHv/PmJ9wAUPa9QDwzagy3ekqbJwGahjMHEMZV6QXes8xi/z3yhffTGa3gzV++
CrSULlvnokjfeWDR09BUlj4oaQeHMVb+O0vl6TQWcwfuCrBXWjDqq0JFRyqhyiPIJdikeGsP3CWG
S9DBOKMGsIEeEablsTdrLHuE+DlzxBzMdqSsp0fDH8SlQ+pAI5imZxRMV666efKbNY97eWXESwGG
NVG4yaiTQayTcv4SdzaRx2b2/FPhJON7mk8ZzD7U8k8cd1EpFTDK2Pddkkiy5FvW9iCfgqqmsjdI
ArSbSuWsA7GPYQJHE426Gv1fe92dZDpVffCNzLOOcDmWwuqfi6Khp1xOVJD5tcJ9ilPpkGsAPrJ2
nB80fi6KAbbpVzl6HCk77is26ggrbg5u9IMxOFM0WdvPREeNg12zfd5ElmpuYT2KD1X01sLbwAJY
lKRAbTc2LlI7CTyCmOyy7jxiTmyZ8b/CEuRnbiVIj1mCAweWzZmNG1NRZXTsfCaUgrutYuNoq9R4
sCP5pdJ5DzjEQpbgG3PSp9BP230mwumpCOJnaSaSWHFYrJshHo6Sg+pWDVF6bunYfY3rCHz8nONt
LCn9U+4wfsV71WxMoHnvflJNROmMIPrU2y4FZ35GiSkaSAtMzkUaM2KDVb5p2edeFPbXmB7RQ2kH
xtnn/LP2k5obM0nt57bo9YG3QrZJ0LNxjZpd+5N110QnRQh5pRbzsZ+4OonBUthtKm9nkle+weme
1jV8fAh2rQt93uxYdSN/eLsM+MvOc1DgmhwRlMcTTQq+1+y9EN0fdNnw3PZjdaLzrz3HkcVUi+AY
QC+xJvlzjuAfwJLwb2O4MEkqBXTR6Kh0bpKuuZl5Zd0Kv45dsiSe8doDkNVbShL0JzDlwUllGQL1
//AQGynlzKZd1A9KYKJFzsaHmX1OKaraoQtzhC4Sbdx8egmfnXqgGNHjynoTcqofaeaRF8foOS//
yUL0D9ys4u+9lphxXI83gKVYAlrI/n+1DxIsYAXeJRrFLxxaynY878XtBOmnKNbNncu4pDFOROYm
jZwA2H1cvoga9c1D09z8+mL+LcPWS5nz3/+5/JlvZTU1McyUX5aov320/1Eujqj27/+lv/yZ9n/9
+m08vYuR6i8fbH+Zqh7pZJyefrRd9vvn/+Pf/Fd/8w9r1stUYc36+J7TBhSj2sbf9F+cWdTuSHxV
f3pR/pOv6/ojRFb7mD7+8R/83dbly99cACiWo4SQlmkvVrHfbV2e/5uHAczB6oCE9/vvFGWzeLek
85vp8Lfz8nqO5To+Zqs/bF1S/WZiHBe+xIKFddV3/x1fl2vz1//ZheqZDgZ9S5k+NTt8Mtv762UE
OlZ7KJXOYZT+SwMMZ9vavdjR76RfQHfA60/jmHr3+mfVd+lZeTq8T6hQDedkI2j0jURHfqRXmqNk
wvwnOgNTui9AjXs62lmG5V67NPauc299adiu7WkpMjrbvNAg4l/ydnrp5kw9kA434OenyUOM1Lzj
RzlS9zt8NhqmSkqd3RMFIM7aqyDHpaXWpzpJ8iOH702u9cuQFuGTbcbq1nfQPRwa0SZ/fiM2ltHU
FahTp8bmNnB6AaRsbhsjki+eg5PKtx1SQGDJ3xnScKBqzmttXD2UU/3smzI6uG077fir6aCLNE6X
kfiq4X10whpvNjbOO6wR5x4WMB1mJ3rL8oZb0YgySVW4fTXn2wx1qHPVsYQ+sSXKNGycgJ2ny87/
wUz6Zp/Pi99p+bBu/WYf+QVPLzXFz7obt044hnfB4PFEGyU9BcOGfR0gadH6dzuyvsUeSn5pfys7
MvETPWZ3J572oqESwrTj/O5FLu6dgUBINpo/7TJ46DqbYcAkK00GkUDfQ+KbybHueqiqlv3VrJyv
Kpi/T82VZbq1yjkpFn5Kn4wv1raHpFxkT7qQ8MMi81s8pbfJhbA9IebXFZ2obQJTIh3lQSwRxbrw
noaZYWPmSaOfgjnZJHSluD2cikkaB+IJ5CjcWFO4Etm7eeZGbWMvjDIvuYXdJpoyFKKcHerM8uGR
f+mVRWF0QmP3HpTuONy3pJPpmi2YpLayp5F4ckCwBEmKohtC6vIqtr6JyGi8M0m3m1xKu6B9+sQO
yX1LCdYpm6dc4Q2nzoUEoCJmPKMZf7rUnA+jvwXil1HpNbwDecTd5tCfVcpXr+E3vG8EB4f1ZEbU
t08ksvAovxKVLY6BBb2ttkzjNFX6opPlJmQX7TFnlRAS4eoNurgFm8iB3hT4uS1yrUkxWdPPR23g
SdY+h0yNUNKL8WyqbtUQWW4bLrckYdpKeTQNH1KCmPB9tgxuTfG5H1tHNbHNdbs5uNdZyS9W67F4
KXc6V+6dnp04z58gdsBl0uIgYzmf7P/7y98+bAWSGS7Fte9QFltMGVSXsHYIGtZWdZAiNJ/kIN50
BJgeRxmmYZ62hv25zkLKyEdyo2b9KHWvHvu+xP6GvfA2jImxi1tTXixwxUcEzIs118Vj6FkfIh64
y2u9A0NsfoEkQzN8JYnDtzP0iBFW+1wCzTQDxW4nc8zXlFT9KqZYE0uS9VArbltVZ4wvA4M6p0q3
/RhZQY65vkdlkD+3eGs3RjWYlwj/1oOwiXsu3WCo0O9uhqA3Wj59ybjOjzalHscma75knDq/GLX9
zQ9kc+vaCc1ItU9JxpSuhClOFOriNVfgcerGe4zADz1HvCWWUOBBUavlQGG12IfVGNAM3LJtFvEF
AtWiY3lXdUIe+8rqT2E31af8k2iXkh6d9eo04M/fjlXy4xc8h6gll58eTr8+UoFSZ6ecoOxA3d1C
66wvXZc1lySnVNaS90pMgGeKwH8ZfPG569m2dZX1brFC3eOCmvZaaRgUpvpeMkmRx+9mLIX1cCiD
2D6NXb2wQe3GPv36+G+//Pr/hsSJQZ664WHyNUBwzYcocew/QgtrUOuGL11EETTVVC5x9n4T+139
MBeKX9o8XNmYN484OxVwcTrTU9lugc19k7XNqrbwX7t45JblYlcImaYDhyxI6dIuX4zt1oRlcIBY
zgBRTN15QiNei1hs9ZQP2HnD7mEqOkyKNd1QHHOILrNn3uHP2cxN3YOwwk015dVHTRf4lt6v6MSh
e3zpfOcOZsE82j3VjUGDMlvE9SvvD1rxxvx7T7bcmr3sbBZyYIKQ66KYxksDkPLivuVl89hiI3jw
/e6HMeXuqdA5OoHnwi0GFHFI3XB6R+r9aNCmVgLWHfr6VRgq3NosPzFWgWnIP0s3lq+Bjq1TpMNd
mLnPkx7yHTuW11YjPS80ohxX6s5yckaIaCQLQ12tV1bWMQDKb2C7kGUujrVkD+X5bbjuC2wUyhPZ
VuC7WDqyIptmvMnmCG7Z31DYQFHVPHSLCoYk9ubgVATUiIzlZUFJ79IEzEXeBpvS7eBDcUtnqvNe
OvwA2yJ0xdpzKP+UnG0PhIGiTWRg82x5wu8tbpipSbHa4s/a4R9jvvCC/Mql9slw3frmzoN4wtZB
2Liglpe7+tbYjTwvbqbjFL//Mg1q2s6t+8y29ZkN+3hty2G8TgUJ2AmGGXPJUu3lRBbDiQlYcIC6
sKCGXWuklhq60Z05ClXNijdFMF3gjIYMKgP0Ig9gQgB0e9UbbvDAi3bNhDFdumFeR4uMSud8sZmm
+mdP4AYP5rgxLb/ZOSWeEYbfEipe8skIq+mYxjz9sKv1MY43AthHje617RvvNpRef7P0Gsba2cuk
tTEmtRytqo+kUy9pS3jMn0uxzvv2iy6Q5Maxoci66gAHFHf6k6ttPaEK2ugc5LZpcJkAgiPAt+Zb
VAp7xwxDnNPyiwdBSR4TTw68zafap3DabRj7ztExwLaI1ibd6DTlXljuPcFBvcd9PdBMA8Yvwdm+
ofeIVW40HmDs7pyxvkiZPfrAnSbQd9QkEpiXnVhHYgqhQfOkxL3IkjNPQLtBW2AsFgZdyn4Arbhr
Wvqq8LlPAXmqmFYuLOXQs8jlM/aTvtXuJK5Tn30Yvt+in2DiEUF/6asquFZthtA7AwBz4Diwf/th
m/NH3kF1JAtF0HqkEIwNabubqTnji9fiOBU2dPlEEFcZkrXCmX43PFrEUA+6zdCHJ1RVLvwm5AFN
MVaeymqdiJ4ePiSJfJJUYELy7tvyvaWdAa95A4cpMppTQU65K7yHSUWUblEOn0XYuwoX8kcUY3Ox
8L6WdLo56MKRmr8oHJ8oQSlr3mYEzFTyslf9tB7EcOlmW65TUKc6xeUi0jOULdinCwzS0Bj3o0yg
QkTHEajtin4fonJ81oxNzp6KZ6KsdXzMIp+C+jzBYZTA+LFqyrIABXS6vtEGTwNc6b43Ku4eR5jd
fvOGcPkAAZXihniA/GUAwDJAE2BBjc+8/T5XofS3CItIv5FxMjIVbtoK44Mzc1JJ6HJSLbSz0TAD
mKahf4WYfIhtTx+8cGg4UiNBz03warQwrVElKEECIlpbzkHabbUnDUEtcuv53LW3c28Oa8FJpe7D
8qRq+OdUpWYblg8/QG50R7ObE6wIU8X9zqaY5rOT9bcBxvvOk+OXSiwFAHe2L4cERjD01/6t6opf
LXzPHHHpJ5BLgdiYrMAZESmlaXlrt+KLUuw66EomSkcX7CHyOPxbhuK8TasTxhKxcg0UbDO4ODiE
9eieqsF2b/RaHYAj8G0RpT50BR1PVexgn4CiTMddNzAOVOWnvkztEw5kvC/N5zoCu1G21EkbwDrr
OXtrKLf0SM+uOOK8IUQ0JwFPpEym51g6OK9tss8tL/V/yRx+jb8RMC1/6r8fxP8yu//3m9bdfzqt
fxQxYYV/MKvzx/6Y1Ylg2STy2aA6tq0sQZrq91mdKd7nrEuSStmSUdllIP+PWV395vimK31hM+Ar
S/0tgiWt3zyMwdQzWnxG4v7OvzOre2qJz/4pgsWs7iq2Qi5fgqss71fA+U/xWlW3RWWYqX/ovBwW
XENfVcLxHYuBu4aq2W66Oh+4QVcloBJn36tRr0u8IWu+q40VBPqc4F51yFOJliI9Kv824WyrdZMp
TLoJj4vMIlWRFu+BgaEG5JqoxfgQGQYzpKCWniDmapqSAY+Kh+3DTnNaSG0+dw+qHAM13kZwLOFA
mwuM+FNkfx+h8297rJ+75JM/V8bJ713jZBXepcxmyoes7M6amneR/dYmDLnxzFKBG9c6n7fzQMVB
0pmYArMK9CST6EzAYkPBzBE62PDUy1rsGejoc7BrShWy9o7h36I1ePZCb1W13gdnKm4Zpflq6fZW
xB9uERm3PAXDVQE5b4mNrGXZimdVv4hCXFUVP/aFgJMTN5eZbt+IYwMnXpC2Nj1fLEYi2OVLYkUF
P1PqxtZO2xJrDpjW+o6KWh5XkDIn1nKoAeZC0n1qmyg+6N58cwyyWr6lw08WGXR4h4vQi0iY7/1y
0BzoUY8zJz06TT0eagsG7iA/Lz1qd9XlaDDVxA8fJ8QQ1+Om8zpvH9G2t1vQ3CsWau5uviATC5IX
Jmq/4Z7ZmWISffExZjALUyE5T+VLREBr47itAp3uYshSYC5yDqF91QAtjZrPuc85R5awW+PKmtBk
lL9iiYR92KO9KhiNHQ3keqPoEVt50veObmsxcAvP3VlR+56FC/nP8vu7wT6YEjeOmGYEZZv28W8p
rWcrNnjBxU89ATNENMfGjZxznlZX22Rdq0sLhq6ungUnzc3U0mhBkLg9xDM+JYjYd38hbxmWfB7H
vmSDRHRqeB2CSp4lkeI9ANZbhKTBvbleR1DK0e5pgAxjWHuBwIYSrR30tlOYaV6obEnKYgbfcSbZ
iNyiusHi+4botGrJ6iu3mJkSYeElZbYqnXavQo9PppHwK3sx81cGk1NKI8rgdOdOzfWxsmF9Yy1e
zwL0LlRQC8gWO18vvee+/dUbpjdD6GJPgK7c86pFu4mfCtcYeUS/m9qt3yTpTXXvWQI1zhu629wU
49oSZr8U165ojtziu+eRr9OTSseHgtz0O6iU/IzBvVpny4cAg7udqu3PLu7ibTkF4tiaN3pA61U0
EHasJjQGf1BvQbujYZOi5MhH4UowfXoKG3XDt7hNM7PbyoAHZReDKIN9F66ZYb8PtudtokjCcaOK
jWHBO+BU3gAEZWlYGul50Jda9ues4zQkNWyw4IUMyiloJD+xmTOE7Z6heFAf/FhaU7imLsVlIxO8
cFrXnKKshDKO8S3ArwUu6+IsFoFKv2eUDyewijEVFhcvLV9MpquN6xsB/LZoZ4oftU1IKYPXWjaY
onvT846cFCkvqBeDiHqiMAf8zHyL/WTiiIcXMfXGVSqK4Izhyt74wFKeOZdvtfK/BQEjz8Am/sZC
uVrTQASw0k/cN5/WBLIMV3Zp0dkxRfrgqp5Eq19aOzqz2oNnuv0pCqb+pOQEVRJfeBdbSzXatDGh
WZ9lNBhnu0MJFbnpHLAb5q8g7KkHHSgMyoq44+eUxpcy0R/YqN2dygwooZnpQnqL1NXipzyDlw3w
8aYac3WeyVPmSHmSdgSRlKf/Q8nEzd3G5qraRk1x4jYU4SZQmEnMQ+NxyaVNQ8rOUgeK2QVB22fB
u9FJkmtdR69pRiPk4nvpqNU28vncRORYO8IJvBUwCIJBYlhaWwgyvgSxWadi78nio2cptsJJ6+39
xvtcG6M+xrbhYGTGflDX43SInVoiShCkxXPd5BK6YQI3koYDZgQzW9IXh4p7eGBJQp4EDPgrvW+a
jgq6bUyoh2m4birnRwX2ZRVlBowuh5fVbCiNxY+9HVzP2hJOI6YfTmKf4EKlzzx4p/4K8zmevE05
WMG7AzVuHQ0bow2tq1N9EXkaXJsJyqTECLEe4uJbEpnlT6adsem/T7J3n3xuAcTERLHtR+4cSTMo
6KFGRswtyXDTZNQ1eOWrS7ncVlaGu24khNpfMonhh9YGE8AZpgA/KYt3s5nwbLHn2noGY70OyNut
Qq/n4KwlTxk24DtPgLKxBxaEBqiiDXkkrqSowTyQixeEKmxbOfssU3cno7JBg/cUCJgVoxBkMWih
HrxPllfhhhx0Tn3Sih24v25n587JtVsnYXPg+awfLTM8ApxHOnNRaaQb4mJxus956f7IXjGOcg2x
n2PJ8X3IDDofNJOy5+Vs5PsHEzsHPTvbSC+GeClWVCRcAZR8SeBzmPT3pIxBju/kawQZemCxrTpO
ItZUPi3Wb+NrxAtUj7wXIne4pEYHYyEW97F1rFVT30tz3JneIYxJPQzhDeWeSzDLtj1tE2ad0TBn
vC8vsbKa8wDDaajsl6LiQetGLHct+qNlR7krlaFWewQteJ2r/Kj1BWcnc5EqyaDMYP2VAORdf2Rh
dNXEfo24/G406nHpqVMO75UqbvCiVuKzpnl8SOXWGHEGjCZVLhY5RmQ05lx2xeNaeWOxAyr3EFs2
/Y0BFU6pEf0ww+k8kttqGoqlCu5OS+qb2w9haSIadDR4nnUhdodj3gY07oNWrpB7zVF/4qH+TYfI
iDP7+HiEWaWFke98STouSDoe3Ul70TV2H1H8LJT1PcNuhNm+3cidUYYR+DU4pgzBu9yC3s0AeQ6p
3bHFtGQXyl3DUWONj4+EnD2/24lxtSmkW1e4c1cjpX558WiHchtRaXPFsXibQzhpkgxoZvYfgdlx
X2sXkh9BU21SBNL10SFbHrR50VxtRwzrmhBYZ96dBNBGUnZPAy3HHBqj+4w1Cx8cJYjOk8xEyTWy
OHL4WaqEhzlX67cgBS3Sji6fm4VAhxTN6RNHgSPdo1W7n2EpurtS9V9jvyWnSs8Br9Um7QmDzdVL
D1l8Yf30W8+7GrlxgnC6LbGMOJkWG03kHW/VtKsecs+k7tVS8Y7OG7tPx4Nd1W9FZXKE5jNApqJ2
m011j6pmMtjdVV2dEXF5vLDp2JB43dAbep/R65GLeCs5KbFXHNJ9xduqoATTXVAjPbj9JPzJcU/U
LiGIRuU7lQLrna3sIW8X9Vpy8HPi4Zuuopci4KCRG/PdpSuOSy3HU8hJzEu8W4J1EAxpKp8qcSyI
7l196j1B2NuEIixXbKvEMPeaULMag+FEaycFTsacn8hCITrYJBzNiuqZkPVIRk8itYWNsx3C1N/R
ihd20HRmOddf00qduzHp6KXq593ouZxs+gxjiq/udFu8FYnbkq6YSQoVRz9L7YdkDttbTK6T3Mf0
U88Gxg4MtHTWdWdN33iFp29DdchX4gdntqbpivgKtavRxJt2oOOjfPcxpJ2Us3WBlqzsujbBI/tP
ojWbDeuydOvH9ScOzYCu3fbZDsCwd5E6lCILbukEnoG9pCuM+opY9ch5dG/m4PTbhCiDjIJ3f2ov
g6DBzcQ/CWtzOM0CsLeHE2En+RRFnv/obEPvpnxbSVADsU89269zcTp+mJ1eOaY7bGs/m7hkSuiN
dfydr+LW0ACpAlQcTTZgNXo5hT/4D9K4+67thuys9YgfnRY0hT6mGCHGrEs6cMo4k0hvb4mWd7uc
p85+4CBkeomiG6SmUU2CxxFliSGJPrt1Lez3idmkRwF1IndvpPQEO2nw4UAAbjQMQHaY72MYBw9+
aGyLAAGJuBRiYnQVNJOsqtIK1l4G4JBOUI6RRe/jEAwVbxu2SdDKPtgUHhu7eYz9+HPdxzfbw8sS
Z1B1rfyCEpcdeDdezLY4xZlE/89ZcJjdNKzLwqKs4dj33nycw+m70dfZegzksxUNgE2pL8eDD72/
lh/87z1vqv2keZ4wXnHDsOKnohq5P2wl8wXtFAW4T/qncFqGrDA5jAf54f9rJr98Ev8Ph4NEtP7z
T2qxN/yrHop/6r741wwWUtj/VK753237kf9ZrPn9D/wh1OCPEBazJbYjB1nmL6YK0ngKjYYzH1At
Cz/Dfwg17m9IOGrh14DZsUHs/M1UYf8mJKAcj5Yapbg5in9HqFnohv9JqUFO95E+lJLK/f33/6TU
lBxliN631kF4JInSp1H38YnvBaSMtOOrQ/HTPG5c6bAk6eb+MNVDtK841NlV6r12UzCDNzY/hxm2
inQ2JHkfCxA655ejrm56lvlDwn3Hl8SP40FlbyOBg43WR41BUIK0YxIJm/EURsl5HIrpmM2KLvVm
yM6kROOLCsYHkeslXAd5IYGPvqd/cD45A6tXHQxERfpsWHuFRhepR1beGk8I7k0U/GR+z2f7yLBJ
xEguMUCRXaqFEv3rnwDS91t2CLAkhrQ7VYpDiDVTRNC72bdxeNTOkDCR2saBftkWJ8EKIC/FRy11
JKO7eOqyDecUCpyC+uwN9nSfdbVSdvN/2DuT5biZdbu+i+e4ASABJDDwpPqexb6ZICjpF9oEEn3z
9F7gOY57wiN77kkFqZAoklWV+TV7rz2RV88trDuS7rmVXa7nskTpO1hgxrm30UWw+bxPXOfdcq/L
5YbXy1XPlU8fcc6KW75UAohHMU249QvyjR3RNPVGejE2rHaFfvOXudQTOKE/JQVG41D7hWxQt9rP
u02bE5dqUJD4FCbeUqGUhIKPLQQzYDHlUhQ/hRbFFqm1sk3v41LnGNXw5IkZpR/q84AVEnpSerz6
mi01EsEBBxYIBVZo6iefQqozkQtnlFYWJda01FpQnx+YmxEaRBlWFI8TRVm1VGdDSegd2BA80xyl
EgFgH5vVWs99uWMcfRnQP3RLvafIeAo65Dgj6xDm2vEm3BuW5NXHVKikZGzB9RLGsB8oJY2lpgyX
6rJb6syJ5xf7CcvPsoWNkjPFMfqPoJL3kEILrhB5p8SOUWUp54Id0135LS6SvgoctDmawHlK3oHS
l+vgnFIKZ0tNHC/V8UiZjKaEKCyfPsnqaQHtpZq2CtNcz36K/dKkWXRDGEHis1pq8GCmWJ7xqM+t
fJzd6s9IjK5aynbKd4sy3pmzbZI33NFLhR9TVIsFkpYQ9tgcE7bvYgIZkGMdwk8kwyBi1e68jLQO
Hi1E4VTHgJZiprWQtrMraDWapecIaD5imhAzO0betOute85KfYWU/p4vPUs7The9dDE5XwHhxy+o
MDHDVjqdBM0gGP+MNB6D2o01BNrDY0Z7ZNAmBVF0G2mbsDQUq8I1GFfCp6GxSpYOi9/EuqyyCiyd
9yekCfOXbky9FrRmkhbNRnPKgg5TMCwnG7xCcuydkBAOWrts6fGy2b8vxk7IurgAguDYL86ukhJs
1SiGA/CIyNFCsER9injDD/uTqkBTYHdp1l4rXsIYREETa2fNPAqAnJ8b50ybsD1H9uthxzs1Kvm7
GHhDVDruepC2eG7od5f/AO25yZAWvsyZeYQAm4DQwsAPSZBn5rOkni10s/WrVTQFZuj2N+M9dUgS
YWziknSTxrEAXszzdFCJOpvWRL0tDLVPQTlXZo3Ui6LmaFrhutGFumWgvNZRIIi5AH7HNIvgOqaR
KX5Xl4LXLeITaRW7UpovJNG99zJ4BtuJdG2wKMOpzauJxBFndB5J1IIkUSn8QWPxx4jzbaF4K5Ld
xPS8T9DNePLZj/07gMoFJCS8XZ8/Mk2lTumzTzv8Imr7ZhnWHmPNcxsDSjWlN6xq45uAT+JVayCY
Luj5qkh/DYAJ8tb34Vky2AsCvYeWTCspLnZsDbdUBK+2U6PBHxVLOTSdRLPM1yprzmNLVqRs6Rt6
ZN3rTjRQTVFCU2DSCxdevZ5x463iuj5VcferiSGnJyIGeMBYVtbjFcn1rfeK6ppwcnkXlBOgUMz3
up5ZMZoJxInKP8wYitfm8izDxD0DjyJAKWC+WqAL3Ff+ZgFYXfylccG1sOm9pH7M21Fs3KQKn1Bk
EEOyZJpMgJXWyGNS4B4xGiSjsp7hvsJkC1luAwWqbqnTiJtTTvvCJjyJzC7gu3U13R1AhErZ8YNq
k51pt81VZhKPcc7QhGI7vQzpHOxmFykXfuZyB1WUJD9JjGpk4vmnH3fOTps+Gumc7YGQGSdsgIzH
YXfs47m+BviszjJV3QGKUAv0RdmPauyNrU78kHO/lecA3wcDuhKrXR+SIZA14lpmrkai5VwbV8Tv
VtRdS7yrj3YaMDAMIW3ZgVKHvlqEanYRAqLwh4YFieWdetNyXryJUVXKEMpI7adYgqifNPHmEa4g
JJvI8np4+m75maVFvSeKmaCEIBthd2+Nrllub8bpjt+BpTpmo57+OnQsEsvkYx4tai3T0tc6JrkP
aT4TJsW5q5jIQv3y4fjBLiAmHkZY1ZnY8YXzHazItiXHJWKyDIGPcFicM0tM4blBrfmEskeAFjuh
j0jPRszDz2C4yNMrI8RuA6Wie+5K+8nC2fuFPLvdpCkCiEohB81nv960eKBuiE56HMCIezguy4Cx
HOhl3T8QuVdPqfsQ6J4ETV3YJ2AW4yaE4PdU21pvdN+07AX2VmEgapjV8GvImNskJiAVOyMjIkzC
6ZSC/N+2jqyugd1mZyAd8w6og/NcmwzdjNk1/rDTd1JuWeyTzsGJR/eqayJAVrkNTCSu6JBU6mZA
eazxmpS8S7IJFCZUDpIhUfB+VsogpJir+7E2BmOTTDVHal8gB58Tsmek9SyJFyQ7M+lu3uzaLP3H
4nehHzJ8Or+kRmtZw+DFcAE/UEf5Rea92nWQ/p+blmfT9Lvpoc3h1tZD9eAtD0aZYVKRI4srQnKJ
f5ldgqhZ7BgslFAIZv/7gTnynnSSBx269kNU3oU9ZwfBQnEN9Mt/nIhgWAFHMr+nZSw+0NFNfmYR
z1CK5yrojrUpgwMj7ngf0vUy6B7rN9kjPJhM23nq0PFvHPsTHF13S6SZMzBmITkknntzpAtLSYkX
akp5JVKKFHDX7d7mGdgQPh5cHqF+HduxvvuV+vfDpinbCQBPYl9Qb9oXnnZI+AajHpSD/a1dHpQb
30M26muXoBIG0UpcGL2yyRAEoqP1wzJzYKDabwbobkd7wJ7l9S259dBg9h4Kh41XO+KOM/QEFTDm
V6LeGFfaW5b55q0TKMZcd7DOaasswgMskEvFhF/QS2vCbCOLAVt9n926fcZfFl1d3yFtxzHWzMrN
Y+iKN9+c48efB+3639Vc+s8Zv4e868aPqOakrX22eFI5yaGfYnmU02xcO6fKtjoT1UNGlNVMKOqb
nqzvbJz6Xbvwn2fHJAKGLS9WrCm+5Zrbg9zMDUX/azAxT0mciUirLNuCFsL51Mpf2KHTE/ELDGsN
eYVhuUTEyRcDuccm6J1qo8nIg034YXk2ura4p7icAib7o3zXoiIfThhQGYeiOoy9oECLcXIxZOrX
GfNDbj+LOVSpolPEhOweJHmKx5RlrpUvVtgqZ+w1wSKas/5J2Xb87PAnTl/Yd9H20B20+wQo6uoY
zkNXu/IBSdW0c9ESni2UEyvUd4RZ6eGcApEJm/7Q5cG9okFREXNWp0ACWg5Nz6i8wZyT3502oS4u
Dw06ZTyfLsH1YdgPOyU5SjD9PfR9nV/iKBeL8qfEQj5yAEAB/02mKkpBo9x0tldjse/nsz0FUBdL
EjV8VXWPP5d15ZnV05hG1iHHVbSfJt0/93pxkFgomUvcYRTqFUySUtj/eoBYqVapmhhgAJ821/xt
cAXNN9IXkt2bCjshOY78SN1UDLtAGf/kxcx8ipNt52RfZWCTosGKMly6mJCJfTnxHp+a0jiWlXwc
ur3t2ciGc1KNyPYAy4lYvHT/zAMxzgPxaGP4WcI4X6d5T1RbW+67EvkN6Sis8oiqr2LSF+Guxcxj
scSTDdFsk7LyTsQEi9b2H1Gt6ptfBuzH2SllETFLPx/9PNTZwLbB2baZ23LhVPGbkMT+lYinyGtn
iVW2J817l4N4UNfUTqL3YU53PjiCYyynaWUaZfzalsOuRzj9+POZpcpPO+a09HwUnT2iscskagv8
Dx+hZgOfVYYEu7vS6OAuEicvOyi0ooSNANqqBwYahI+JpgTvEOH7rR1+Wj0rzdQvytsEY/uxb5/Y
gd/HwHBeEN/Gz5SjBDiK6Uk4SA8qu3pWgEOgtrj5OeqS+tnKAzoJ24a7KRVKuCBEWiyK6+BH/9gD
3mGra5t1TMoi4RvU6hFhjPAQdLKJCc678roWwEdT/uvsMPcS+3faFddamuCoy+KdqdwlbEeTCpks
Jzkqg7O041LUxXSSmgOrEz38CBa4eUUMUByN2S0yxr1TJPQ0GgkWqj1CaInuWLemcydMquPYnQuS
CYV9YGL3N4hkc2IFnx6Ugnfbj+IQT8awDkm1OljhyJPRhnflVc6ZnepN6zQ/GubJr6bhquwg2TWa
eqcy/XZDF467oQ4DyuNSYF5iy5bzhNycGZNxlQagVdAZzE3dnUn/M7cxcPMPDrpz1uXGb5Hnf21r
ql607Z+jHAJ83DgS0koE+wXkAIHzuEBw5TPyxMh6twaLoGnbQzY6jtFzhXb/2AKS3KUeyQxA53YF
ZsYFwes9aI66xM+cfzI3/MyT3vzAOBopwCv5QrTux7p7cqFZ53Y1LrwBbAtZlT6pmvXYHA7NSw2O
j6+gyEvW5l9wBoQHD87vsevedcCLQCtUbCFhHEh8k/SY5s4zI4p4TQpER16gNz/HGfsrjP7PMii3
jbfcqkSuDdRGBm3Jz4cGzeDWhKJGYkLE6NdrEbJTB0OjdBv/hkPRPPbd9NKTGHKzCXgF0rF8SHf0
wI6x3IRoDdmFsyCrl4efjwIfYXuOrVRaJrc4U4qjaho2garwr4TI+lebsXrCoXVJIu9v19V4mYwC
i4OCOSyN4ZjBCn3ScdDcYhWduUkqBIfAwYel3HV7W55/PoIjJs+OaRw6jbswtrV7CZvZvfx81ME1
2GBSacka6c9hl03HsYvKqzPaZM7XVXn9+bTQ+dPIpucoLRjNenDnHVmhTLGAuhF6zNLBHaBykPLT
PUTpVzT7CFvTbmAOETOq5uveR1boUGaCv7nhZncI8N1K17I/hFFBDz5MB9bV6dUTsdqXrofQwfvZ
LyMJdBMW50FfhZc2tHnNMVFkU9Sw5l8+LdPCY5FCnHRQIkCpixyab6XvGDuvnp+HZ/nKmOCaj9OL
NMpiG8LU2djdVdWgdbPokI90lchjC5B9NhMY1f92e2zeDYvyzZCiRnRDSl0iliNh/WkiSm1o2O0t
BiXCspTY4XTk3Ujq5qac4nf2ZUgJ9N21nF815cqqs4hvJO7zcwDPRzAB7tIW6kFJWttYsVZaZmqO
fOOu/LJzze8q3oPcbbcFpInQTw8G7J1E5s9AUw4Fbkb6UKTjWS1+2wGBcSBbV0OMFttVW8P1CSKZ
B2KmPeBm4K8CQ+THst825PTtDB/KS+ARIIvW+1pYiMQz0FhYXGn8msgH1JKzNGEPYlRfQWvsNZlI
h/lEaId9wkbL5mg+DKmPn8Gzn4ATrLLOeZ26DrdUrzZ9b/11SKW18KQefCv4mqpw7Umj2erAjDdK
Ym000WyEUcUYpWeTrZycFKvoKfHYOHXhFxJXDKvgYrd+iVLfVVbLkz9+WK0JYckMyedow+1LOlfJ
XRq0Z6wbl2W6jyTe69gtpdV28sYPO02Do6cfc9LAfAwSmgyBzYjRs3aC+4xJeT2JZqeb7JsEV0ML
nOzD2G9nUIoH8TdmpbQNRZd8t9a19tvfZl4HL1UEV9CNh/1oQIgdBMAD3jspLm+9cdgZMbrNfguP
S7tmAjbQDK6dZIp2g3BCxP7VKsk4vXGqWRcbhtQ+KpgPO9T+Dew2rm8aAJjAfuHRhAwcFhGqI9xj
zTo1EmYlI+vNvnRJyW7iT/42AC4pmYKSl+wF5XxKmGQByG7egMv/qb22oC6brROVqnXipc/3WUNX
S5b/EBNEdJ51Ep+8+KvroufcxI8wL3+aGppCEwkS4z+Xgmeo0QVUxaXVxIMBAf+Kgv63gky2phrA
fVf0v/QIHdBVDnwNEj4GswIlABJoF97F/ESqSfQAl4egyD6QaKsJAa7GCGGLSs+ikV9+MkdEpujP
ogq4FxLp7vCXId0pj3ro7B1mZmIKRG8c+qg9h/Bp34L5l7FkbRvFxALWzrE75HRuEQyrMkpWRGK/
NX5hbBHsZ1T+lFHO6K3BlzwQZtuR/2pQlbXpTc32XsJqWAO2sK6kch0MIo3wFY0WkR79xzxioGiE
gdOj73dYw6mk0xgRuZHgQqzKp6JOrhVQsE2IPyZqeeqTmglAoAMAS999R8j9YIFrLDKw0CmIhagi
zYrYxasgGKb3aBQdvHs7LzdfYdRkKw3dYTM6kFHUaJUPeRHph0E/zqxqL1neRTsU3tABxJ/eeWEi
hKaep4sRo7IeSGnLX1g/k7sae/UhR8tIOW6ie47go8rlIayHz25BrY4+JYYyFmyHL/MzZuuLSRN4
/XlQcQcoZRqOM+PEswTmdg6DnPn53DOLgs92YV3yEZeMKMJgPkk8h+yZRbbNk9jaKO126Lnb/cis
le/CYIkovYuLs+fRt9L8RY/OBrTbvJ/DBiPAmHmnIo9fxKg3HQlyR2byKPzT2TxWZbylQQuObf+K
vko/T82H1n634oLo9/DfAXt0TvqmadvjziqeqiLztrC9kn1TpIj+ZwEbKcXuqaNg3OLI3Roi+ADp
RZqJPbxouPzknePom2djHSsoLb18y13HX1rarVf6RG3wE0YoMfhioV6hOIowdW7cMSaPd/DeHMUq
OTLKiUEj0xDT+ZKJhfKw6S4cnCSSd/VTaaRnG/cptQu/HtItV6LJQLiNjwVcIxh2lwiVgUrRRIFb
Yd3MEQYi7RygZWY/FGRL/0X08PLDLPw1vytAxUIgC8mjIpbSWUvrx7sa0MHkGF/6EYiikVmnwavf
ojauj9JEv6oMCNZ2+RuiLGMzR12iYvpqK4fsTLyOhG6H9V5CEmKxn6Is0l6y75pHClH3kg7NFX7p
vhl9JBHBXyLa9jlcHeScDFPNEsiTWZPMNZg+16Aonwg6YlBowsbGMYVrtnX8+sBKCc3Mezi4DZak
gfVS2AynECNCItLuLGQvdwVWMDMxPpFG44RLTW+XBaVcVf14xok9XEuygLNMog29e5jgYrcFWBox
MoyL70x303thx9MBgCfyobpOyCTs5Unb4z/NRLULCPqx+BRzOV6kJ8dLMLAI6kNe6qTK8lJv9nah
/3CSoWgzuurVjqsLgBf4j0G06K/8e6vq6YWBc3yaBLUNz7b+junF+trpP0eiucl0wmjkkCQYo0fc
cxcHayutu5sb1yRK5zaiAxbxQyO787yQbxsyEQ9+trjvdKL2Ha5pjjXxQgL2vkt94DKD8UoR7u24
JX4bsd9sK1Ie1cDMq6zK9tgX7A6KKa2xz3EMIQ7ZcDvLTTj7M16qIn5pQ/5RNmOm+hneJ4uTdAIZ
hSaL6aycTecUuRgG//vh58/yzMdK+POHljuikuUe5fLCcjhgPmwWFyJ6pWlPpIbY44MR7y1mRYQI
n9niXiwXH6O7OBqLdt8Bxri0i80x6jK5TQaoakyGvDM0P+yQiT2cBpc32PJZG6t/ypxwTTdy3BMk
N+xA9pfBeuiEEbI/lYh2KDHKXY8Vs148mcHizpwWn2bFTvf28+Bg4EwWJycplL+jxdupMXkOLm5P
lk82a7vA4uTJeNObefsElosRZNw8AOX+PZqp/4XG90ssXlK5uEpzO0oBTPJSE4Ns3xnugGdxWRoh
5pKAojiemdC0VVU8YwG951V56bOq/Y4UfDor5FVD2Bz+5laKG+PAryzm8BdRYb1mBYPXXgG9iBaf
LIJpkn003ll/cdFmi5+2wFhrJjhs4UJ+I+kBzZZHV1nhcAQoZ18cDvtdHSjngcQO/pNIuo+Z/Vh6
vAyZhZqHImvdT1hNvM7UGsJMs6VFe7MWG3C5GIINzbAZgAsuYX8xDMc4h4kzy46DDIEDLg8/H/33
p3ZvAbIUmrnbqJ7w3PeZf/cLvat82796i3+ZNVZ4DwaTBUBZCyBZKCN91Cl2Q9ZF9Mk+jHZxMUP7
tbgbs7hZuKQH3NKgaTdxUJFuaLAFduJiPk5Ia8Hr6vVQp/kJph8uc9hpBIx47vY9mUBKxnGgNvi/
LtQtBgxkw6UjZHNYY+n2Fm/3uLi8R8YWy0aEmEZ6S+cVLjpNoFVTD07venGK91jGIShyeY5/cUO3
W9gKTN2xlwedYN1mDe+Fj4j4ouInv2IYQ1gLb0BynzfZGDgrJHIj0Z3YF7yJKwBEX8BcMki2cwDY
s87ZYrBMKBb/e7w44TMs8dPijXcWlzx20uJktJto8c8LjPTCyhO+YZBZSUHR4GYIgEeM9x4bK9pe
AxdiunHdJ2N8j9jzrpM6fDIX5z441gPJyN1q0nOE6rCB7BpCYezUg8dbolkIAL0unhihf9R2bNP+
Fe8dtxyOb7z9Fmo0+48FTMCo5S/PMccNTTCMWQ8CAcJkpwoz3tEkSyxIgoVNkAMpkAutgDxudTcX
goELyoCSprkj6tcg8eEcxD5ucvE7XPgHciEhIAgaNkl5MBdGgrvQEhqwCeHCT4gWkoJemAreQlfI
F87CvBAXfj51FwrDvPAYyP0Dmr4wGibv5JcPHLPiOmFc2I8AY8/FaLxGIFgXzpB7j9rKvSu/GR/q
7rvVEo7nYNUwoc0MlhqYGN+EGlGAj4gWjgQ3PHIvzLflwpjwF9oEQNuCOMTYfglAUcDHn9ftQqco
Fk6FWogVgDHmN3ehHMOyED9Ui4VvQVP34gG8IG9XHdOFgSE1NIyZMm2NTPskvakgY35uP8kuHdeJ
4fMlSi+5VcII1x0JEfymB2RDZXBJvc68wFlmFmmTQmp+2QuoI5UttA762V3ZjT3yVsclC4gtP2hp
lotNg2+fTMQHbD476u1DHibRPQcqfMY3+BeMOynIge0euSKaFz/S1q7o/GSb9/Jl1NLeEt/WxOOJ
jJfmwvJ2WilvTHfKcBJaSgp6NbAhzhC2yClFBdzuEcGvsRJfyQspzq5Brgs6/sdERjB7p3Mp9BoQ
qcC20pxmvi2nfIHKf7CCCW6cK7ZNIU6OH02nLDF3UC7JEkYChC46vZX18MZLgNPF0zs3UsN+mqeK
eh25bh/YUCjsieNROZC89HcRNT2WYGPLyK/Cpph8pM6DHeT+Dp18tB6x6q5TkwROV9bHkFfhLhim
czuXzjVa1kljjCUCjkppMVNj5nPui/Zm5mihQxbNz2xxP7FtrfkxwQxbKMjxeRiuc8kPUhIZXWRy
WKHspJkqgqe2aQQtTgsiNQrHvaVGjNeyFBdCTj8SAlmMNkvu7eifmtHM3qxwJlqVpeABVPfabAQ2
3HannOKdcAlv57BhXvf2siCwW0rtjpR1Rty/KVK5EClFXt2BYPreiMTD7Ff+3mnYfhOitE/riBTe
0bf2VaT5QvWc7JHbGKA9jx2AlNMsgLoBBPBWMSWkNzM496azoiVilRbf01q+5MJ7Ctvn0h7+ibU7
otm1Mxzy0a/kw2kccajIuD7/PHDeVB3IbHg10VPtlBTeodjZWR4/t2UwbzRIyr2LV/llin0UmaM+
KKczsc2HxbOLNflgm3T0s91e2KzW/995+c//jYpQkG71oyLEOvpvENO/9X8L6el//g86oO/6P2V8
//oH/5Lx+f5/CbyWgecERMohSIRx9W82kvgv8LDo34iww1JJcf6fMj7XNv3A9y0f4R8qrP+U8fEv
PJ9zE0AeY8//p8w7hHr/h+ESuwmqexIMkPHRSZuLtfM/80yr3subggS6/dg8+vMw7Hw1LfptZ97M
8APcquwuuTaOlgGiOfQwPfcMDsoJ4kExyDsI0OxkkqXeexM7wEQQAlUs8SfkzeB1UeXNy4Zw3fuD
tUYsOJ3Kmm1RRR2TAu87q0qPZ1v12xiL4zV/ZXkogKvqKoI4oONDKWifbOz/xJI7mJJNaH3D9AAO
lYBve5pvE4yXwUv/0Wbpvmpl/7Hp7dpo4Qt68z85iYJnPZTyjDNmq9B6HPMuOBTQSQ/FOP3K3Cg5
kFy3ajDIrRLIB6uS0BVhBRmsM33w4GV7bcYC1WiTVTIr9y6iGB1S9R6ANL5qJVcz44nSn8YtfiB+
K9PenO16i5+lgCp4UCHXF+XbpUPe8V6F0WM/36wYpwAQ2HKXhLW1jQb10DksmeAKMG/0xnwVdQLS
JLdCADSTZWViI0aGUJoH+8JsLKgRYc9lNVTnQOaXfCRDY0r6DSryBMI1xMNQo2uJqVL3wOe45khP
27LVwVPgzBG5ooihcrBOJ/I/0s04FawPpIgvWmpkhzaTeItSHvi3+c/Qenrv+yMqDJjJl7Hwc8KL
2VH1EpoI+ehqrXWE57xJKnJR0rvuMMXVukCp6BFwwNANLWawK1VoonExrTv+498qoX3xWudQqdw4
sKK39mT3sn4ETVSFE6FMQlQnbTJ8rEGuXuHuI44ElrzOa8TSOtMfQLu6nZiMZyJzqz1b65CxHAPM
KUAxIYSTHrjluYpmrtRmnLKbUeZ/bOSEJzeaeXCbv8y/pguULazBzS7WVnVx075hyFH2l2FUa1yW
8yGBkLzPVQidkEyKdiJQI8QO4cUAqBXtEcl9tLAEEjHfLGl7POn88rKR7yGiJkd0MJxHcvCykl5d
h924ieuFH4MrGUwWMTKBH8mV7bCf6TzYkV4dIocg6cny3SVGaB4vQ4xvox6jU2jK6oyV1SLKcXC2
lQgA5yBTgPMChQBT0yWgUtmpwYBIaoNLn43CWmeQk4nZmbpdlSbkE+nGOnpzfCVVfr7lyIMOsP7K
FfbP2ArDaxExryoGuI2FyudLXPgPFbnsp4U1oswSAaTp/opwJex6NMA77aUKyf1ZxS2+1znyVhmz
ycNAku6lK61N0xLsZSHT+jOFxYoqe9WO8fRXd2DS57z5dqYmwuhtdozgErrz0ftTpGO0x1yonsDt
0kv8StIBh54XXG3lUylZtctcrmsPCXxQkgdwe5JpZez7yXubAZ3svESxJcjUdwRP6la2qmHgmp59
kVzLpE3WSUslrBnDeB6RFg4RLOygL6TJbOu+uYyRi0ijTuQGCCN49JRzj9cuY7kAEuvBmXpsahBp
6hodAdLXrYnkimOxuaQu7E49xQcvQXwV653Ka4tsQm2sGaz2u0bW11HAdRKp7E5F86IrN3oyk8jk
DZOFW2+OaKZYKBBYpbEyc0y6jLUw+KUYhNQyb4LOagcdmVa+AVraRcBEmwfQO3fqQ/WumWNfWPu8
mMxbcMdXj8XCyOocpgldn2ZH4SvkPqCdGDEP5z6cH9wRtFhT5e4hLsfvFFgxOzrEu2Cn7bI7DoVG
dIKOq7MAsfUzWxPApWyHCrorCXZiHTbBb3dyEWDDoOA54FfAvrA/q9Xs+uWjbfh7N1BvTelmL637
p0BwtUlGWZ/IJ812QRZ8ZJ2LcUvlv3rU7aySlggnTv4lhpXnEjvIIXbIXKA7nZn9pjnyMt/eiOzS
BGb/Yti8drRFmKYwy+prFuZbOSbWSogAcApJabu0Jh20kNbvlDw1XjSVOvu9uekxAB2LiaF004Xf
YRTp+9JTR2RfbjqzfaUOnw5YCrGvEXi+r6tCb3s/XqM2jza1Vf8G1/SSgkedIXdicsTGHbT7PHDh
zHRMR7IBhhTst76Ql6S+dTG9LMu9aAWimdvG0+U2KZqrq0wiIhI8qX5FC4hb8dDIc2Kk+NhYh3X9
IuAiUhB3TGLji5LIrB2Gh85AeoPktt56+GLXUeUFt5+HziY/CXPKvApMcuiIqsh3DeP6NXF37dpB
/1YxmzUJKIjDowwnA1t4qtAeKq7fgaUxIPVTjbJor+255Lnqaa1YhW3mET9p2WEA0uho7dB/rxqR
ncM4w0dZh9uCynkYsn3umJSuVbmfZwqL6D0j2PwapOMpZlwBcSWiUtAeJJYWD16UpUTRNlm2q91p
XSsVbYGQfbq4DxER9/PWRde6AU0zAwQa3+yOoXOB0H6tfUygcuBXat4nkemDFE7J+GNiP4YIhqkR
XnicFIyvMK8XIG2tskhexv4aJ9vGcot1h0Sf1CSU3HChA4afTDbb6UggugPKzBcfs9e/heQERqrD
n6qDFW8h86ryzryG+R0KuHckwCd6SDrGpgAArj8PQMAf6x68Str3jEGb6ViOLlLUzMlA4LEtDDhS
h3WatOEhrTU9k4grAmfsMltLYkLvSNjhApY1AurmkwCEzwLp4Yp33HD9eVCC8XPjJQdGzashtbbm
EgQHrO2W1UpyayXn2Dc/bAU0nd3b02BDxHMydnuNuXFtf4bBnj2byc6fjLOZz0jltbd3WvLDXVbo
u8oSeGW9DNdruax9abTd5GN6D4KTtt6kNNmtOsOzNsFVBAjkUPC0e2dKmP8p/eWzPVDRM5tCrsdC
bcI0ig8uUCnOQPE2TuOwRUFxHsz6q4NQN3Ib4MdABCMkfntpDkfiPBicG1sg9Qeml/vYY3ElQ/Eq
pvo1EFjhQgdLeJ/J5z7GO6ujl0aDX2CW8F6Z5MfWzJtaQVIUYC3diVcjAcSUPU5XObnvdl0ltwnl
xMjQ9hfXuLcaGkc9Owbs9SgV7jmumg9ozRBlh07c3RH2EqcgGIFBDACiHGhCnUeoMmOO17rT/T6u
5m7dqnxnM2NF1xkktzLjpBTD8hNl3q+w4sRIWIzUk3gqYv0FBS7ZGMKCq4FrDWyIu84ntGtmcSOu
Z2e3xSrL0lPcWOxa/AgeA01v2xb5Iy7Bc8VIc5Lpr7FI/sYzW6CyROzeR2j76o5xHdRFA4vFHSzi
uiCJ7zqI9DvV2GsLRL6uepulc7Ub+CnCHbcJbxxCD5HCeg1+FUtFhyLM2c1a0bwDqNzzqlDtxsn6
IwGCi/5x6tYcpzdydNARpDzt6Xg2TH7ylFp6TDQQctJQT6Y5tGvSc6YTwZYY0Ofu4iwPoqQiw630
atf/RKOdHzlKzn6TYy9A4sTr7RHdxfSoWRUDNqvtbY5ZdNXi5X7q8X5ANHH/qev6NXrqOltf1GDq
+88DdsWvPO3v+FeyW+3FGUVLPe0dt7cek7gq13pAhBZ4BnMw+7OOZ5tpWwpT2qrCBxuNMqc4g4Jy
cVLY5TnF4JraaDZXkfbTS2aJmf7Az/dJI3FWj8wbBMF3j7VQyVmn/Svv1fHhf3F3Jjt2K+l2fpUL
j+wBy2yCDBKw72D3ffZKZU4IpaQTDPZ9kHz6++1TZftcAzZcgOGBgUKhTqkqJWVuMv5Y/1rfsmtC
M5aLQOz0dCUoaearcSyLlmB+HJ0dLo+p8eQhD5Dj//zHkoaGx9KmfAc4fn3ihVK0LLxt+pabmO+B
4v2wnjL1Rj96AUlM0f1cM2zp6FMXBHMK2hHWGVkPisPEumnyZee17P4sPGAwsq9AIj/sUdhbTQ4Z
bvOrKXN747SguriwYmCuoYME04BlJmmvxZIQVuEDGbhLvfdc/5la4k88OhmPd0RCKf8OeEHxpoWi
QN5IzcciyfMNGPrhEFS6WNtymk5ZK56rIkqps+KEDYzTb+HYNLzcp/vKeM1SvGIU5veP76AWhNxM
UfTYzbNzAk2z6YOMOGYmi9d8LqozHUlXe6gfUog5W5eWvrOhyQq7CZtNgOi8GQDdxlcGuXjdUqaw
QWl7YGb5oim5OXPj8kh4gBFNqXTCTffYmqrYEE1X+D5gXkfNfAjT+MMoppOJ/AwKLiNTwkQzs8ld
oSupO+MywzoebTSd0Cvf8n95UTdcc/D2Gwgj+yhxHl1maQbC6Q/hle9ll3+n8GRbdCBRZqpyU99c
/Lb8HKFGcM9izzjpYN0qllvUPUzjjkUiLe7Uvq9t3HvnkCMRXuB1JPm9b4tfd+HR9FeGPX9Du9n7
2Ma/RN495Fywd3LJn2vjXRLGVqgR89tkWm9bAsldxYRPVlm0PIxcffC5iZ921/B5acbvDdDAxuIO
MOuQTVVfbUa2qBuxhD+1n1B6OdL1AsbcHAqb8zXzxgsfbvRv/Y1adaoyIbJmqjiNavqj1bW/azz1
UOVuBFWmv2hWFVDh7/g+OBj7XPa7JZHdU1fXvPas/quvWsI5cnkW3LmdlrIgdGb2QaK7cL9yWmYV
uhfYI0F0HUHh8ZFw642yfvsiYFxYMJJMuCfXRHv0tW+R9ZVd96w5onkjUdYPMWQ2Pp+4hTNG9tG7
GNcf16mJvyOycKKDz4FF9e47mgdU4u/w9VbMyZcXq2M6O+VBk6szmErXZc/J47c4rGP/0khZfeOq
aYhr+cQU7uHs2B3RCMfsaqkkPwRe/+p6aXimhAW7E99Bvm73UaYgU9UkiQeZ/lUrtkQSxMGlj6jK
rgy1WwHZNNRy1JSpP82upLCvuVTGejL2EHORwQbRlzBBygh+RCE5P2wF3ZOuok1Et+RFl0Tnlrtr
CBPRHBwcEfHeygjMNUFi7ZXwvkf9LqET60Qg5yPFpnvyhMJM3oWCs3zG1K4E2x8SZplOKJUZ+0cc
iICqfJp4PaYPCsCw6o9Nw/e4YsPsxZiXwIRR7UtYay7mDoPkKLZmSF+VfdP4/rcGcw8lEOzY2t5H
bHFwd882DgDXrCLRfWhQRdj6cQAZjL/8MVt1Y0NIHCxrn22/SXdLuTw0UDNw3uAqWHxBvrJkgimS
+jzmxS1079UixS1Jjf4QHLk0cymlxJamRczThGa26k2O/SnqYIclLDx9d1jxEptPs6R3BhmVW6OD
zpVY6V6Xy93wbc3Y3FbxgCTrfFX+xjeiPrSoyXsKETJMNbzUx4JNWOP89ijOWSdIGmvBZvpk1M+G
NeYxDe0fiW3fugChwu/Ju0Hxsw99A1x04TaYC5yfzkQvUd6JjSQa9lg6IRkhbOECTwkZpBzNZgIZ
UboNgbQ8oQYhL1YSL/4hIFnXhsGGh7nc98P0R+f74xu1cMCqdHb0lZ+REcX4PVTpYzLw46oSdBRW
xxPVqro6W5TNE3yP1H7UwQ9S/N7aA51Z8XnfR2N84XWAD5cd+mimj5b+ua2q/RvtxNj0cLpa9sgz
AgCbnzLBsUFvaVxDhqFx3nT0IIxV+E5C53mStlxpPe6r/FK0rscFDTGAy0NMhWvBwM/PQoSsR4gW
Y+4PbKBmIycRETzt929lm/LGSNUHTYYGGtoRlNOqCzUtP/7dJdrdrzvpPuJy13k0R9gG+SgZt32o
I2yLCR+WhbIEGh9gA1jOWnaKWxKtBrtESUaAlBQun6Xk3gFFlpXnQAAjC+y9meJPw6uExp7yodIy
PDt9CzapnTPmJ+opxy7eMTZ+k7YvQY8GL5Vh7G1t5XI9eRxHrzlUEXJYJCSccQAafk+Wc5Ccq2p8
zd9F8i2me+oycCdmT8cjiFJ7jLpl59wX3KNqX6ECYX/lPKbYL/mknXkXCsJnU5wmfH/FL9HFn0nl
vwO0BYGh8C1hsQqPebjxaWNKPb61LST2daAtvKLpS48tj6ey7rdL9Y3L3G8HpwNDPXNGG48U7HEu
ZoX51TbcPa3mFsS4vR02ZvvaAQChOSDUMNKCFYl91SzdiWzDkXIajQiAu5UbyMoryRl0+NHZLuZn
A5uJpCJwPRz9/i7wi3DvBBFrI0kdHDtqAnO9yBkZode64x1MbG1RMukplnm8KdmFn0rXOntZE5Ie
DYGsjPkh0iZ97ntKQR3ZF4cJjY65mnARJsjTkB0bKqhoKCWVmW9dLGaq/jLuwoESamrL80PFdcKv
1k2lg+NE3OzUz+yRivH+51D1mi8Fk44WgHii7DPJ+0tUezcddxbyKFZ/a/kgwv8RhwXZ0MG9e9LU
jd6a7aTqJ6uCtir94Zcc4B3PyXhMfNIS0vq075Zei5l0jT+azOR49StR7XKBcT7LSF1u6azp9hhY
3iZLvMV58UwwE2FCTmoTDX22xmUdFWpfpEh8CJ0weMbwClhp5FPpwvDLF2+91NNt0OVMDPNMVWNz
9qL8cRnThxb33Hb2yjd9XzPhVeXGb9EqV3g9ptK6IHzWmXrPdgmpLkrGjfTumi2EZBm9S4FHIyt5
D45LcfEcyVLP3vRt9DHqhCvCnXnd057rLs6l5eLod0buyajhFqAqrO6b56bpXfSmuN0EhffiurH1
rHndnifPfMeFtuN6NWM8cID+RW+KNtoVgEbeyygHyjGfscfriaTu1IbfAxvnIlv6F79tiam5T5Zf
PZT0bDISDPfv/aUtME40fneI4vRg8xREUAxlYL9NXL4JqABonxG7c9aauM+okqe9JgteCDfE8KLB
L0acrppYbaD6Z5+JnUkILU4bDNMjvcuzrFEyI1rHInKUuB+2JQfbFgCTeZ/5xfWIl4tsw5hciaRH
5Dye644i38IN7W2RjCfHBfYsMJ6uMqGtazDmlzK/w7cM6L2hEv6FClhrG7oSVxwdJ2gL7gGA/2NM
2aYYibenXXerlyumB1UO5drK55im4fCa2gBtqFtChKGgZtJFvFbeT0mh/AVdaV+IJj0OXo43kgRZ
GFFZVtesCOjBw1lyEF11T8IyI5rwG5UZ4CDj+CHsgv5SQXIRqhDoUZzCcKjuIT29K8jPwt6CYOai
AA5tAXWuss02KeybcvyNGcpHZ2kBpDCIdGn+NqRZdehtpNk5oH6pQDONZPPKXmiELEThYT66I4a8
fhV7miqG8p4l4anLUxfyem6+F94J9zim4ghVcIbaTm/TsUPJzgqMNC5y0glHcEA5ySqT5PNGYqFl
C52HtAgeW+AwUHpx/OwiWw6gu0lyBznaFH9dZk3Z9XtUixWru0M4mA8WsPPZMEtHdl0+0RHCxgNA
TqNpBMVI0Pmi3mkMt3eE1UZa4snCCkCExl1NXYzVfCb8ApI73Zmc+TNMSSuxuwbFnVY8D1lwaDvB
iFVgp3Gc+84e/d1pWXB0wXbh1b+KMiLVyxRxvSI94/jutu1wGLJuyHaZM76mbvdLc3G7hO3dcDAf
w84t8Acs+dZrzY7RHEJV0eYIDT8l78aZa8M8WMcp6Vix0VWKaskbcsx2k86LrV3B2+dHQTUFEQvO
wvpuaSiG99jOvnLHS3HGL2Lt1pXaU5z2B0wIbDhCGJyetAaloSdXlmqr64z9qa4r/1tnxVRFDvYG
yaS6uZ1H1VAFrlX7drRn+cYYgxr2kpb1pqOOrEbgPFr1RGJK3pO+HUERMourfoy7TUv5hNJ99Mjc
ep36+SP3+r2NlXjMQDzh9z0ls87WIYwtmCERk035MLvqJxg67OyBR0dt+s4siZmJv1qWVAmu/Wir
C4ZrDjsUNWirQeSAL8N1F0M+4iZNqLR5dSWLzjSWwKIt6zsfqyh8sEti77HNDtAc2qvzLSti9HIm
k6gF/l7HZusP1Q3xnE9jRoLGLS+0ykECCV6GoUA3nvSDmUq6M8EZNCxQGTz8p6ELPoXt4vo1u4l7
L1fm8lizilg5DR9T29JnZyDYGNbw3IEzzp38bWxiCBJQd8gBA5N+FenwK2zSdnX/wIyW+PKL5Ucz
WU9u2H8aD4VgQHhambE1G2Muy0wMyImec5vMXy44iOnL/RQh4Tennj6Qbzbt/SpcCyles+SxKNoM
C6TXngiGNIfMo3ipZqv5HNQk1gjsr9id+Lc2W/zXhMVdmC1vHtPQoVb3b+NUUuMVNctZcI1YuaMF
xXXurWeS13fbybZmlDuyibkTWKt9XnoGPH4yXf/8Tyik03Voe5yP94zKf/9Fgi44PUwXrpGtJA00
XIxyZodRLL8Dxt5TqqtiHw8QFcXUq6c2GZMdfufmVpgFpw2dldSLnXtucbtpQWh0OsLqVcXlqAvt
4VlN3fgcx+pAhmKbt+rVaNlfSyDAKSQYFxidWCVlBmmiZRvm9uN7Wjkn1YZcBaH1PUS5sbeWXMI1
/lYX8Ymnc5oXwlth6u4jA29FjSieXjJR+nafPDoIKqLoir0EBfEQulQ/Wu7D1KXqorP+2leN+1BI
+1LTlnihEuaLfES0G2ywJQYPLjFp8BRmF0cQdFwWyuUCNQGI1mGQOa95Z9xGOc8CavkWoeZaVSVF
z2my8klx+q3HC3Ksd6gb5XGMUhL/mAofE7W8pSb3bpUVpU8dXICabY8YJ/clKNhj8UNAxGBfxI+i
/2IneLTKAJhX/knArNj7E07CgZzWmqz3tisSFz4c/ZbZzBCHk/+l67LvFluacMkoOApRo9N0/tl0
TO5+XbwRP/VpdKOXYHbYyIQ2uSm1d+M+Pqa1fUqtak1zhL29k1nSiAjinfnK8SSPzjDQ90Oj2B7t
QNuVvCWGQyT9Rr81hgevoqDAHp+skSt0Uo+SdyLmo/7sex2q1WhBLZxe69rz9o7CGz7QSR5Gw1vq
DIZmUDEeWKlijqgTTOSmXB7bYd4ikNxEYPyVA1t6n9rD98Rkz002dnu2bBQKROlhEJqCuNowVOfj
Kf4xmzjeFfgkqXoAWd8oDfUu8l6lt9TnejzCTnshljFted0CCRkccLC9R3GsGXZiDl8p1HvJfDKc
GLQHVibsM9XAQxnyPbdMzdYAssqGeFEOBlqwURis6qIW31+HUrCY0Bfm1PhhkuDwPPQjEDQsgWFj
QsSHgdrkzyU3T1jX72Mxl4dxsR+mwmZvDfFh7VEBjsDlczPKbx56Hc3xIEeXWHEWW9/Y/nN5I324
ninUavI5WhW432TDWw0xzdb01aT+vubaTyB21BsxVyBckEiKiZ9aqIdHR6V0SqnyJwUsbF9Rz2bs
3F2CFKpdzn3X4sah6eXcObicd2OxxRlaExMDOdybpVvTZkalDl0uGFlzaI8FXBOu+Q64XdTdPklg
F+CfsCcYfZnTXf78t46E4z4rSCUrQvqrSrPpwiD81JOiOeG+PDL+d+iwXG9zj3VypD6HuoLArRu9
cvP2GnSfGVzkLyXjE+vgWzO18GTK4TsGAmokYDoOkf8+YznbOF72BQYTZgOX/W0eZQIQRDZczfih
FSpIH80PLMF2tmpr6gAKEqXEI2AcGlSP7tQFhX8K8DZQbNDv52ykNAVwbhXTTtFHL2aM/5BzsE9R
pcEvZcHeFpG/0fKra/r7JGR3u/JccfkKuimi4BduX5ege9IIz5ZgKdfBHZputyMPv1a7rmcM86Dv
IWRvtMKenVmCKSLiM5Iuz0sJ7jzui50dxd4W6i89EPSswF0OJlQOroNNxT/OLREingacwgwKbsho
XZTwkXgNowjROOBMbLgyUX3awv4Yxk5isWl+RlX0tAjCSG7Qv5iEhloime9W7WPfEGvSYWJrjfEv
vrWAuYDgQBHCPk55y0rQKP+ibSPQBuHp8l+hnbYp5xaiDNSdb53pLSax5Zdso2UNfjdjQPMpqspf
skCi1FMtgyUZxhJLXYtpep1N3iMVYgfTyu+L+90R+ot6Vf6WNQzokr3Nym2jm0xZH7AWoAm26+Dv
dle35oQRI7Y/OD/sRNv3kHUIdEJdPySJ+R4sbCeAll/ShEqcaIlW0xxBceTpt3X70OjkW0ZcTIbc
28rgE3Rit9NElTNBK9XskE2wnBo5eUtf+H7G4jIJ91L2+aZZ2j2w+asWCVh8lNt24A+Z+223AX/G
O9EogYQSn1W/+BsrN58kf7DodA9AfvEqtBgMyk0ceDngc/anDDQFdDedoaDz5btO0HRNZyQRGLyi
DQcNIio3hENW0ebCUnatjD5pZR3cAFFptLytDptvQfQWEMQlBqAGFzFrXDi5cb6bRL3mSbIfJCkF
D4oBIoJ9xL96LqT/DoTlnHcacFixLu2hBaVw1s3yXJnwel8IaYLegYVPM+cqtBms9sMNnPc4A2rA
sg2jtdds3A7bjLTVp3baVRPtA6faoKxu6Iil9MVqzlPGhplNWLrMW2P3xzluW8QrPJ3Up5QWaSML
O3k0XfL8jlO2EUXH0HpNbWxm1XQXV+aU/+EUHdMhPrSp3KceoTIJiwUfCZu3mHnL+9m7z3lRXHun
vtQiYYB8CPn6idfunRyWJA0K2ww8HOaaGxTmSzIXx1zqcpUuIzOh9PYkQdj9oXtGKb8zSV8MSXe/
TYJbOu7yI/EcEGtO/lFH8aX2iL/PG6be9YC+yZHCY039DXOp639bupJcwA/Pjr11ZNqElsGOVjRY
Py7Ytvy+z6w66GkdN+zOdrga24cOeB5LUHGMBnJKMfqXTeFAmo4PY9o8Gpm82XcAmcdiRgCZ6eri
ye1BokulLmPecSpPT3THEnGggHrFJ51FEfjgtlfHrGVqsAQU6T6Eyo2lfQDOhU/vUzdjeusJ3Z2X
AeB8Lqb2Qkz9cxJde6aS8szepXwd+NPsZ9WkmwWS9eCEw2nymZ6mJhwAyetnXvlsgtrgW1mFC01o
ZpvCSDgugfcFw9Pd6V688YpoTpqtVZ1CEJMlbUjSz68L1o81x9R9a2mU/Tqw2hCT4oKlufkXh5pN
MN9dks2hABrmsKEcpp0qGEhnNX21pG+5di33rGBTMq9QB7GlsJ4sY0zQzXZLd6+wvqy77jgF7144
qYM3merkzUSMW23QGfLmrQvCu1nZyd76hIRMx9nQdFjmQnvEjCA7fbC98LVSzYYWe03Kouczn8Fe
HcrMWs2T41KeNYN062Mya1F7E9Nv+rfEiwNjFnvAQis5yyuwwMFmijBXhyFSro99kmzite8nfYtY
bsxu+pxPnCyxpiMK2xHCnMGkUD1geer3/LDcr5AA37qx7cdI+SRp4wbPWvvQcu87y02h7RZ1oUuR
vRq9q1zu4E5dNtgLRy6P/dxSXHYypB4uOQsJpEV9JDO342Js7XUxvLKqth6HtD4GOOIPtlkC3Hp6
1fqpQ18BblSP7woVwV91lvOKWVws2Ut/lXojhzjdy6p/IcU1nFt1D6Cyck+zqTjg88HmWMA5mgQp
gCBb8ospUwaDAOAUMqtNuhCiSxduS8lzZzlOd0pHYdDY6EGUApYzy7ouKv9ICyh4/ZLybOqvKQl/
SqGPgJnYkuvqxbfHvVDhWowGTryuw4NywivooV0dgaoJEKU8hfHFdo6GA4ml9VsbICPVl/J+72/3
cxOcR3v5Sqzg27hgaINYU1fPlo+vAJeAf5sShNWZbYfUw7pF89qJUqiNl6jj0LwbyJMMbYSMYymf
26za/+lOnbSwVyxpva3Q+Q+I70fhdFfVFyVh+rnY5KH7260XHxQ1/QyBQ3LLL8bkOELamfUEEKrv
eYnUoAymyHugf+QaTj22Hpd9gi/54EEuUXtaqiGhp+0f4Ee4kSbFye49DHipjyeoOVhQA/aB75OC
sdtpF3tfdT7Lg88FEm4w0N0OP8Obn/LAOXR99XQxfFfj+O53bFyHbHqWqd6SpdN7lriM3n6M8kEK
d68ZrCvphY9dWcl1jRx8rCQ/T/YFeeYuL/jTuEMGhCFBER2soSa5dNddeo7Q1MuOfzrK/2+3D///
13pEvZv3vzPfn34UxfAvP8pf/3L+0TGbtf/yH7v+R//7P/3VkO/8/av83ZEvg79Jieeddw/ifOi4
9Bz93ZEvceRHdkjrkOvZAoLu/2hA8vy/OWAfwOfSZ/z3SuL/1lbsuX9Do3UdqJTCs4NA/FNgXeHg
7f9LA5J1ZwCLwHPvv/lfjfikOhQ3045iSHdyd34hnW8k5+sTu7rxVgv6fLYCYMxnmEOTwsyZJTvb
aprzjD2PVL9q2DFI/xaUE6tYy7G35QS6K/cqPtBhnM40mYQFfAGqH3aRpEqMOjOYEE1erwxHOa1s
WN8KCqNXunLLl0DnWPzu6v1iArN3uS1dHJzl7/4CWZDWbvToLsXeE+JkjRTUzXJhJvTI4G0LOnZO
xV02ryvtfERONF6kpgCSa9wYcTsgBggxSdxvUlmxK+2gfDeG6P8ag3z200wBW5YyFBZ1qKTl8LGF
3s63RveVvXf1PFXEqaCbxAxpqGHV67KQVcvqotzLu8lgppSJ4oiMGd3Kv1tlnwIbZS6fi4CNahAG
wyslnxNW/qa/LjTXnX3AghxWQXK0GRD2mH303okz/5TJhPLmDJPbuVMdkw/OANyDE0lqEDi529/K
VuB3vUvelWXis5/K+ktky0h3iMtWtQHUlvaNt4kAu/+Gw5K9O+VY/Iz7dNnaona/z7lTfAtdLE7g
fIvkZclZ8RC6VliuBoomiO7LMKNsHhoFxNew71g8WQWjYu/TDIGHvEgeW9+nqEpFvfg2uhOY35gg
3xMNjYZA0zS9uWKM1pIr8ZnPb/WjAIbGkOe1/bZrJ+uQpbH7RLw8xmimB/d5rJ3pZuXVgss/y70n
Cx9fy/WxqdVbQVD8fjCJyILM1fF1KvwJ8SbxHaD1RZM8+m4BDrBuUWequjIIO5Ld7n0zX6/dNPTP
jYn8s+CruY9talc/hnQaiEFwo9cYgYL5FQs6NUX+Yn9PKDwjPKhEBjYSHCsrgMjnQHASfnsgiXjf
YtO4zzLo4h+RPVCJPPREpJdCE2wIijlIL1i0p0df9oyqS1Q7YJSXmmFiCJwrjXz9Loxi/XOK8enY
bVPjEXI8lgh523JojMAJYrgkc2ztabfVv2Pfmn8Q/M0gBtZeuBma1P0tEo8HLFF+1WxaTtMB+d7Y
fJdU0cxfxViG3obagDpkBHepxJtGvAtcxsd4B8QuFI9BbRm2BTCC1Y8hS7qXcuolHIfaIkze+0RR
tykfGRQzqds/zNxURxIpDgcwUhsCiiolnbaUB5+cWaqOj2YUPY/BSFmH1S6UbPYk/p/EUPbPNJkA
7HXCevo2Wan6gS1u+MwKtnlOHddPgxAlouaIYXoqql+UXBSkrZcEa0VhRr7ppjLOOc5RynHk4e0W
0YT/fg4iCNJ5Krwnn+rCa2410MZyz9LQpP3J+xVNbvhbR4KlvYWsAiGXv8kjgOnhAlzL71cFbAd/
pdTC4yqCon+qtApusAzNowuZn4SQpy7CtHhaiZPoux8ifw1YLd65ESyJ6ggI+GqohxwBsJ4JWLKK
np/7wIalW7VziO4/JAtlQ45TH4ws9S3IHTg3RSLHn1Gh5Vm5rsETsaTuH61P7WRMoW1FfHdytg3I
zG0TjuWvsDP+a1514qGwy+5D9JV7NNUgUXQN8pSxhuNc1WbjhZ56w9ZtKA7FKz7eN5DDgnmNDCYC
ug4qLlYYZ6dTNOfZsZ7u21dTOAcSNd6B0yl+XIDikaEI7f3sCvMzHJz5nYSxfSkzU7PPtYOfggz5
jwYkPF8r9xc2mOmwrEBgLdBs4Sz5a4+PAR6qSWI7ceIKZ1dL1Gv0tNo7su2pcYU/nlbedGUX45eb
smO9uJoGgdJI7OfqLK74JFtfvS02G2HsRkCFJrCB73NOGcSlnUwDX32qkj/y1He8vSuq8sHX96SH
oBsUfmCtMDQtc7spW7LlttdPV9/Fp7nCFWHtSgZ1B+XLSHC0nrwAhA/QnDIwYe1iPcco0zRmZX5x
myLHPPTJiH0s0PEv3XbWJi4i9RYnvb9zGhsn0VIn7W/b93Ryc+W4/LC5whHVbPxbny021gCayNak
c/tDWwOqUjzYrJYghnQdQr3bqXTXuIa0h67VRz1jk4/xJx5xbCZbO1rGfZN59c0eCPdQhtOPL96I
Wp6E/QQ92YF0ZfNrK6pF1QugJ51w/6y6T7cJDRH9BG1nwI8nceur7IfL8wDaOnLVw9JkDvuvQaek
830PdTHwji14GnsNWNOc7JC4xVjYBouXPezJoWKTrpvip5W3+qgdlV2K2lqeJF4o6Eh2ivwXNidF
lvstNhx+XUKkVQ+63rG0tx79uDKs7WL5Spv9+JiMxjssBVEAXhH6XF1DK7glNoJ/x85oOy0dBBOZ
BvISLa76+ueH2/+zyfW1KvjX/1zpeZ+if1b13GpFxuhf//zlfwQ1/90//D+sfsCIG5G0/M//+l/+
F6HR8+/2R/7j3w2pf/+//GNIlYyiWJwcOiCckPwoX+wfQ6r4G8NrGPLw+q4nvL8MqY77N2mHDgga
7iWShj8m544dfPJf/0P4Nxdx1IHm50qHQGnwT9V0MikTTv3LlCqFpCuUzKrt2kzKmG/usdK/tD9E
Q8qBlXHiezENgGOSXLz3wjMxjXFa0ZQ4pBvA2NaVBnZWYItwDpmTy5VhxNmO/euSEAXVyav2K6Qf
bXWbcIIh0fYzIYWSEHusc1ow9ZgeKDt/V4nDKV1Np1CXPa6ygmr6It9ji9ZbxXIWA/0Ey/uejbK7
s2X2AJLtrcqEWNkTPkDOWH9vzRgPZg4WCDXiYQQIHbo4JkWzbFMR7btQsW33g3BnymwXKjE+9vVh
IdZ9biRqtaYn2DRYxKBIbnneqotulEK3ugaLFod2QemMw0a/YToc3Xp4ndVMwlzaD97OktnDIJfu
vb1bgDovenDJKx4wlWavHFYcQZolTEMRdplxvy/tJN7AG1wOrhdBfFB0OKhe7OE4UYiBjPzcwawD
oN48LUnnnnx7afF1Z3CwvJbwU5XckmVy6byxDotLkUbVcunO7WqTJVP+GGn4jHCW6gPW3gJ0gWF7
42D4xo/LN8wtvV1WABZ0g5a1yTg+UzQHUeRdxKJ9T9ryMbAh4pva5abP7oOi8RZPtd/2d2xdtVNh
vLMymzEvFMMNqQyxZyJmIL3maGqyQgbLRa5yl4Vsneyo4/HoFUy9EzuSC91yyfeCLqAVs4t3G+FU
vA2kIv/sFJ1mvz0r2rQpnoSsZnfTOcZhUkZEDRs8GxVH1ZtrBrkOKnfDKrJ8aCJ4hbO2zr6TxOTd
pnWEffCcUmuyAbmHyzqyyePyOXOjlvVWTwVGPoTfbAmXMlsv4hoqO3seyvFaYILGqpP7uz7AH+WO
+iMKQUhzMj0r714UTRZlGccHXB3b7FkQE/tIFgRzLAQO4mG/I0dNBRMS36r05dVvmwD/S/4ylQ39
QSmmD1uCO25zxB8PPvwAHGNVJl/ZKHEjlWkEhDKzTkRo9wPsh1MOgO7k+eE1TOmZHSEpXQAokP/L
eDSsITsvFn/DrKvT7bVDSn0dUWufOyIpXtrpy+R67OmQp6rKU+9izJni6m7r1dN9fUn6y+QVodkm
//DvMmcx8VTE3vzI7sbgC7bNqmv46YMuHd897a9ls4SXQc3mVoplPiZ1/BLWcfNgy5ry94peT5FF
vzqCFZ/zCDg/n3IOyqGXO9jiepvSzwXs0P0NrOvdFiwRlsmmTNflc5qXOcy/Pg2vk5U4q9gPHrVM
spvX2d6Lk+OQwSefSQhjTjDJ82gNDsZRVa9UK/oVoJv6yLrEOVeCobzN+wqHiGtfF7wLEI4koEHN
1x8DhOrapZGgKKfd0H2GVjY9TNWcQ36ZLTRInCQrKe3knDAkm4zi8s5+bUiQAP5KxHnsUyTBkSrT
xKHLxUKS3PKerk5VkHFb88arBHTJPZ2Edwp6Ipim6K1cSBbleXibFzM+hQ1/4KIxxTGhM6STyju6
FEDu7XqedwDdn2Osu8YLwqPqw2jt9XzXxkhPpz6jZlxVyZMdqBRc1gbUsbzGcfgwNVaPos2NtOuT
m8UCBEZ7+kOkk/tgDVGzyUvwmbTWl2hv7EUam3oRNQPEAL0x45wgWM3M0O26drwii0WHLO6+lrSN
NiN3MXzYeLBJ0FyKTqYQwfT4YhD7yKN8J2GlrpZd9A99rA9d3lprNvDwsBlxntDq1ckq3YuHln3C
eUXMPDcviVDTI2FBDou+wU2dk85YYnj/scTunmc4Z1ASVuL+blccKXNaNsRwJ5qAE0bHf2PvTJYj
R7Is+ysltS6kQDEpsKhemAE2T5zpvoGQTifmecbX1wEjuzPCMzOyc9kiHSFCcfpoBgNUn75377mI
Z+2rGBomF+PIeFISGktNpLs4blepM4mNShTwpmVaT+xA/JoX3SOGtnANQ71aORpj6Rxpi5/QwSWV
d4LB5k8XjpjeSbcLBQJy/yG6cb41dXJvR2g14CVtyh5HlgKidsyVnpl642wS4K8oWoxhy+9UN/CF
Rw9dbbpKIyAiMUs/1keGegSVfTOH6YRNLnkUSSdO6ODpqxB0+9g2eOPJ93AnEaUbHNCqK2fQrKGh
5HsjwaWXaO2+Kv1NNC+Tqdzaqzozex8Tzowx74mQUq//7Ed+CEeKdGFnTJZs6BMZigDBsoqFE/DQ
qlL64gCMAipObIF7DeDcVgYVH1p/swFjwPFGa41zwROmIsUAJ649Folcm62veHj1ENWKaLq0kTOQ
Gxlw5ndqH7hQU3ttRxajz0rik23GoPXs29NOTNzxPbxgsj4sfB5TZrocr1nn+m7Xd3p5luFKVg50
h4ojEfvRqUwY1w5CY7MKuRBDpWNbqNhPAeXFQSo+xGu1mElsNWgfgri8M3i3+7LGOVyX5A3nBaPQ
tjm3XJnzmEzfqdffweYOqPQWdYMSQ/7KrOTUCxLqnOlN2qRN+QOXR4zF8DB1E1yisj9ZcU/vXfo/
lNF8Dy3CsWd1VE6ajQwA/+CNNjbSGSRsXtbxIKcJUB3GrJULwpadzT6pCksKoIHSUxS0uEnYCizT
03M82+0pjSskM4A/EXb11kELdoZPo06tsvKgUpWtoB0wJzfUXSwQd/TcvLgZRwimTD8w98c/dUr0
Q2zDwI5thRZf0ZDty8bc+LOzT2ydQLvly9ePOtVCHzMxnrCjlBF8E90XGpMAqzI4sIQm1kxSU6/S
MPZiHBg1wj/YNAiNcTXjwyLTaKMFycLktq21VGRz6ESCa6UN7Q1cj2A1dH6+GzmuoOmdh1Va2Q2t
v6jeOlbUuVmd1cTD+AF7d1zvzR47mOK3p6Sp8ApiIFLodOYB4arznu0+vfgTAsYArPYuHGvVG1tG
VWHUBEcCAvW7Qc53iQI7ZICEhuZvri9624PadOp+Iwn/1gJbelmBOrhrVE6ICB0S5AqDkk14GEgY
mKNyhtyh3EFEMPdoKjZVzeBNGFAuB0XbQxapgATbkYtKN3bRrI93JUQUpld5RcZr3+7Gwget2XTx
Ua2tyOvLfibgj+NzbOkHKzQ+YfENm7mQ/sZpCXrUh4lT4VAHH04f7OKU07hSfHcA1e3wDutHBxbp
ooVduCNzzSwwqC6KrHa23kLuwmkAbJZMB4FDSaC4Rcyj3BhLIbSpnAb7uAyuC0UvZ/q+6rk3PKbf
43lmC0MZMiyuJ3PAaEb5QSQ2L5Wksa1BKgHhxOmTamLasMt+2CZ286zJut7OenoUWkyxTJo5IfZx
WQOOoLWsZrmxErNvcgG7wENnpIKzS0Y8YxFNWjn1J6exPonEqbB9TBl5qpb5MPedxwVdVywEl2Yu
uos/Akcj7sPVHL/bUMo5d3pfEpklW/2Y3oEO0R6bIQOgyGAr0fL0YqPQmlC7PmWo9XKFEOPmRxiW
3TVU7a1fgow2Y30LTqo4Zk6ZP4ZsVysCXNpjPTjZI30cEncIgfOcVrY7MSeLLV1Tr3ClN4FRYRU3
I710NfabTVCn/v2sl/Vdw+bXV6N///VTaaLSowwcy/v6NuBOZSI8WBsxMQQn992i975QmGco0smk
7kMQnqs0a7R1aDq1O9OXgHmSvuObuMmqKV2LSOF9OUP26ID1Eq1AGxPzFisAnYQntO4VbT0sNxrW
LnpFhyqeoXfZBK6IPvCBEKDsl5DarJl+LHsz1RYjAYx45pIx1oknaeJRFuHE513X1So3rG/13D3o
qfatyfxp+/VPcCI5YX/LXEUZj+iLcV0Okt8cqrc2NYZT2Yw1vO/SqyvV1QtzVyZby6he2lT/gdXA
wHekvlROvqEXymjhuYhZ7IKDPnwTavWQlNPNJqlTt0O83EjraPr7mu+FIsAwkzeHdOavLyy21hic
t1IraCNxKBQtcxIa7z6E7DHcxybyKmMiq6MS2I6K7K4fm5B7B1Vp3Of1PWUH1oMmhyebUa797ecU
DqSNMndX4i8YStThZ6BVP6FMvDiZuicK7GmogPuIkLqsDZNHc2IVwDUE1ZbpecBMw8T2dOk7GANp
mh3YIaoniMcwBoE40h6vnqKCf9a26C8v6Vus5q5T48GHYVqux59Th0FrDW7HDcdquupOlN2nicxP
NI+fhq9fpC0IKJAEECMq860ItWltqHC/2qHrnyvYn3Z0ZrIC0aXm2Z9tIkYMu9I38GLBLeBd9gDR
DRxzMqbCpXZMpza9pTW9z7xeRJOTkd6YJXXeHEZYN+hoX6oMX2RTgQXI2k5cJC26y0jc7C63F3lq
h2yUdwzrqYk3cZITrDzYDCDmttmHBo12B/v9YzeT/heVZXj4+hZUqPCUyExZ9/hVjuj13g66Zv31
bdup8cVqqmf4y/7DZOxMu9auhoi+jxnPKDpbjPC03iaKMHre9cPXl9Lmk6h7zF5f37L+ZQdiI0id
n0S7FhCct92oxTdLFuxi5b0/QihixAfeLeqfonI0bspID6JuReNZVrY1bJ9geV99z21RIiiavwWa
fxf3MSBeY46ubVpGVw4/ZPQwaGu5WdxKhCQSxNaZTf7VbGOcZtJ6Fk4Ada8Vh4hng+M4lFsZkxyW
U4dOlqXf8Dl49gve1YDxDcBezBYHGAzyjBeRWXspUWkAweWkUFSbitXqbMu4PoZModjUrNNvXwiN
QGbqm57WjdVp0ejuICNeWRpT6sEg2yAtAWuU2+0uta0L4WXB+etLGM6M26zopMyVc6i0YsfOOat0
fmGooOzfT7pobsh9eKSqGDUXGoNKLUuOrLm5RJf8aPUwfvz6UjkRfc/QWPeCC24RQvyoVCjSzUpo
SBD5NrKAPpYz6ochVTKCgYfoxLllOOC+hF6M9g42zJRek1C/WpmmP359wRbSMzAwOyslomVOHqM0
QLLHKr821YLaoIrbLd0IUFMYm69TmvqHOMyuo4kaxrf7F4f3dA8G6hwN7EMBlC+6DKhem6QFl1S6
BGzpHOxxrJoTfPLA94LsjviJ4hj2Qt5ERDO9j/P5fbRSvINpCH+ERoxcTmQBqy0YxvYhbZAy27iD
fuCyOVhjUb+aYQwsWCfHJ0rTE10lPMGoDFwOpjmNIW3b+fq5V8fxZ2+COc6YvyqNE3B3zS0FEO1o
qCg+Xd+42xTFLB85BNBK7vzop4agGQT3fBqbEhjjPCXrtBG0hAIylR1yF4Bk1samb1jvZ6u6RlN+
cUygXTTSUmI1zHStMS7p63pfayhAxmk5iZZMpbJQvA2gMtAXr0Z9DF/aAiVeHZjTUbDNX1IJ2r0v
h2Cro5LC6Ui4+8R5AgoTjmAzTNbEXfQXJRwc97+0WMgkwWXujRX8DMcIfgTxvFOWTE9CQbvVf5ml
M+Ho7yoPvNSP0KHzXyGDMlVy8BSllesYQ+tC+uDh1L/9+y3nf9xM/n0v+X/933Wltz+LhQTY/L/Q
l5aORVzwP+9Ln96SJnz7GH7+LP/QnP7tz/21Oa3/BfAgohrAe/hPdONvzWnxF0mUGEjD37rM5t+Y
hjSnDdWQCAM0A7WEaQMa/Ftz2hL0ph00BFIssov/3TYnZ2cKipye/m9t9L9+/x+kadwKWr3Nf/+n
BlDxD51pyzBJJbZocWt0qB2VBOjfd6ajzhRjjI7A64zZ2kQSvK3ZCYS1M17JotP3yhKNGFXoyUzf
5q4PeMbLDMFtBTCUYfsI6LcsZjek63xqZivdJ4ZDxUsyK3PhGTuD45wFmVPu7y70P3jlxoJa/O0N
7j/++z9RffC/lKaNlMQwbBrrf3zlmV+ElNul4qJCTfwgvSuGt8bv1MtgyxeF2ftamTTUZCpDxHhx
ThQVWFz8fniP6OQe59bc+8IIj1IiHcts1o8xq64o1ot9XXdbnwCFrUUYDnaEKXjAWNGB798E1Vjg
1Cq6bzCIaTiuKdTNJ2nL3Gt186woX8SqFh8kuGzPCjAGmN01nofpewRcAoqTddeGZcZRVQlOf35N
tOXT+uWaUFoITag6myYTkT9eEybUeVlI5nxpiXY9FSI89cTUzqIlwSVM94amHPIpiZ4mjklXhSUp
H5B5OdiorBy/W6g6D2BFvlGRqZc5LFSGYxNX1IlfOzyOh34YiAGB04Q1s8BC75X+2LzWcLoBXKTP
RtRNR1qjvwWy/9OblLDtv3tbNmMalREtKU/SXERAvxuf9NLpGNoOjBT1x3LANh1OVger27T3uMPT
JYty1auqPIo5LU9IzIF7T519+POrKxgI/XJ1GXbrmi652TRmSr9ojkxcNUOrmsT3mMEPvSh4aJzs
6+zzOEcbOHjRczIOJoFIFUA//7EPE082XXouUvbcP38x+q8vRoI11dkKVaZdFhKt5Zr97prgUrLm
eDAcHrzurNW5/jQUMBBs2x2sSD+PziCpeOd9y5zErTulOfYfM97K64hBji7VRCPZpmE36gYgtGIA
teCg99RmKIxILp9D8gX2pi6/zUoBDL6sfvqGHe7EkIbnqp0XNyQJfPQY6yjWn8xpoKmBOHaKCSb7
99+qYxjCwXCh8Z9cpmu/e6uTAigZQiRvFb4wOkV4012PPHfws0tdIlBv5XspGrEF7PZuhESX6Jcy
D/NTHKeHiWTiUx6A95e5KOlDJHR7akKDKgf5L+q2/D4hId0tO8VeBz0RpkWDuMSaYJMzu5KroJDv
RVKrxOWy8sksuwhIcjiiCbUj1PPhz9+stjyiv3+EpSVVi6dXRSEnDf1r2fvdm+3rceyD7CtuL0lO
dIcISWFTT5ta3hsTPlUF+GbiW4+9f0cf/LsGcW2LaEOHnzRH+9625cZKs49MDsnapBmyNq2efELq
VA0mxL96NNkOf325QpqGzn6EoM9BzveHzyaLZs7NQQoXqOP5nNCInNqbKEsV0utM3k/e2wRutqgR
sPCcdB0xXhL28F1N8qLYbm76gDZ1UBWKy7ZlxLbrevTFf35R/24B4aKyTehSX4bAzGF/2eU6Ok1I
cizkX6Jq3aIy3uWMV4q4Fes6xPG20SX8qOLkp2WO1YI72/SJff7zV/EPHllpq4yT8Viwc2vWL6+C
uSBN+ThAVai09nHSmeMC9gHSqNsTkLfWdDWfLDcNk4xLs32LQsc/zCXjhkmb1OfSX6nmYrVJpu5V
w5DLzLfS6ERrSvPWmjHH44GU4bo3re+x6exLHvStwFl8UPzUBWrQcHwCMF74T2maVN8YiDnrkVho
z5FK+i+2Z7Fsv7/cxzYAVvFVpqjmryNv9OxBktaWs/hxP0GBgXrs6B/6hU6aDGp95FBSHHrE4sBd
7lFDNrt2CoQHlRjTB0B8DdnWv/gEtL97UUyuTbqvlqPpGrLV5W7+3cM1iKhwsMZTiZtAiDLva92s
lQwPAqZ0aFIRQ8PK94zQMO7DUgHah5RKOdUQDo6qDeAnhCmkpE1zwO2nv+Ci2c+tXFHhjSdWWtSX
PSxaGqUdTa/qX7x8of16TXGOWOyEy/qApOnX29jPc72xDFLkWf6qNdgT5dgxs5wcQjjpg/sHDSO7
11aqfgw1e9yh/5DY0+u1liuz9+d3899VjpK1g8OiKpEGq2wSywb1u2sJzMosJq1VACup7W5WP6Yg
H3DwdDvT8Yejk3TlNYs1C5ghyjuHIw24s9whMQwOYgDT7FkUhYAXHC5zQXWFiwz3TTsy9xTRDntH
7LFQ/nYJ/78ynJAG4OpvHxmBTFHT1vQT/nAi4SBD1fTPTzLnt49wevuPW/328bMJ/8Ef/SugXfuL
TZoxyylaFprZS9nxf5Q2qG9USiO4zr/pxPOiXtQ0mvUXmwrFIVHa/pKRc6f89Syjib+wGGrMYRAK
sxk59r9zmDGJzvrlCeFWglBhaTwn0oAk/0upEAnFGWnHNBuw4NUBn1ngpfmIb7ewwnsZDlc21jlJ
wmNmljco78OdhcLgEGrYI4jf1n1ClfpS3UpTmw6OVdLszPWLTIIt+a/GmvmF4badnJBm4xiJMiCE
QcvsTUydehzqVD0SwaJv6n4o16nRYQbMjdTlaBbTiFQsb1hGO7IBLC4jeRuSGNd90b07tqXcIwdE
lPOcpq8zXYb7JA5QDuI43yZzDgXBz8yTPXTEF5tawuqYYpQa976fA6kece/TMzN2Op1wRCwIt4NG
Jcw1NzXkMg3FQRmaXgRp6qFN8FXasDJCxU6+mz9UhymAHXbxyzlCsfnNUbIjKQ/WOaKttTMEjkSp
PfvhriGua4cU44c2v2FWHTe65SypQrvGB7+G7jBeiX1g6eqxa9K33NdoFPnJ59xggKWJb8Bnwbo7
PctyPFdGROdmZGzVWeJWKltGK7obTNozAmKg5eNOdcwNK4q2tvDi3QpAKjSdsEDOCzZCPdQB72L2
afOb07bK41OggxWP/WFxX8Oo9INsm1dns6nF/biMQpN+7EgfZ+ZLb/m5qTR1YzgojIOwXgvRBS7Q
4GSfcaO6nVFXhzr3LyHoQzcF/rulrRNyxOluYURqngyDG6FLcGyM5HPExrsGo8NBIJ8KF5gNeKuk
2CRR/Qrg9TWwQX6C6Iqa4j0PELkMZeD56RC7zUQZyvHbOEuYouumLlXXmnfQx+p3LsvVpo3+JNrg
A1q9v4sSdMl6B4AsKLtN2kI10lMDi5yiEecJxN/Tl5sQ9M1LrqrimMdl8yis/CzTEUpmK190YdkP
VuXf2XZ4J4tBHpVOEZjimLh0kZ9f+zTa2PjRwOTBbC5CnQA1wPNKkz8AgiI5BR/ZrqPKj5ehZ871
A6EsMmxR5I+OkzhOWncg6M1ZAcWZPLLgsqWumS5J3z3QuEBmootvFeeIW4A6u17CVnFkpV7kVBpg
Bd2+gNJ6UV18J8lhsnDECvafNTt5sw17azdO4fw0SXkCs5q4uJJIpp4leqJIPykGk8+YFCMiWSZt
Vy9BPiD4VTY/v76WZn+DebjG+1CelM6zUWAdalXRGP3OgDhjZQMRGvNoLiTyVfP8FRjU2TXDRpM8
E6mrmDtncUYcsbajRGAgRhSbj2+mavk7c+zJ/ivUiOwsRayIyVnXWp3sBYlWQvNnBG/K4GEeGFaE
VYKZzK0dlAD8gDBwvcEYJTIVW7r14o9gsOkQOpyq2JeRRls85wjDTvVCwpGx4ATO6P+Cs4UJN+Ez
tOUHJNvwwzpE0vsRKNjFlECpB1kcm7mPdihrtHVvdBG6tNTjEjf7vmVgqmT9BomKuFkNRxo11xW3
TdG0GEGbXGhoF7tQJGsL4Qi9hPxM5NsPYqmCfQglsi2a+kXjkKnL4crNkOfJSU1hmrA4H5LqPYVc
tilj3NeQ12Tka7uOadnaIvJrZQmCH4yk9DKtPKT72sqt08wIkMfCuZn4I1Z5bYLmyGW7Zjxx5ZKe
wPvVsJrR4heMBaPIt4jfAXpuL8tOZ+1CG4+jhakMGlJ/UorxzveNS2GQIm+nFnB07a5nN0Dngwu3
oLmh4T6VGPAlMYJ2ZL0L/Huz6UfoKBFh6hE7gYMabAcdUbsvGE3Xha6dyB4aKRSl3JZOHJ6lkxAM
JL/rUWzg0NX1G8L7B8ZT0b7Fd76T+nBvY6U4q1UcuLR9wGx2k7w4lMLI7s1rXYMOjgUsMEMcweho
x68ffX1pSqapq9QmeSHItB0w7VVb1vG1QblPso99ri3SkOg7Ds9+dR9R828DE0eGnsIqkX181oLQ
eZAVDmQ8rkjxXqqAsAu4nEAHybUk2RMBQbfsWoL+1Gr0rcQb7QHjAA72uurn9VjG7aXA7eLIaB9H
obrJVHQJkx8Mmwwx6yEA/wBpZjoJ4tNwMGSNK7nRaCto+Ubvpou+xHnXxc9oboxN0Sf8K3DZjbje
1kalrmNE7htyGthxga5NCegyZlcsnqzNKOMPBeUI+wApnb6q7keBg5wxzQODrJMI7P2Et1nmxrFl
nrdWbOfQmzDw7htRrOf+kUdIwf6Qjm6LrEwvGfw7VU5QuJMeI6Fx5pySjntJsooEzyiztkBEQheG
/bAJJ4I0g+YVMN3En9IHjBkvEG3hGsMmElaws2V7LWgU6hppsJWZvBtWA7U7NpKVP/1I6aGqSIca
f3hBbfakBm/NtMEQfJ7z6co4LFr7mSB/y/qhzzpgCAkbsktu04LT6BULucGC8zfGzz6MSCRGvDL6
5avJcNst9GZRAI7Rti2Nch3EI6bWEGqIZVyVHn8K9x7aHwOLCZ05h1JulSijv5rM6hUXmisaNrk8
I9wimYluSM6BUoZEMh1xFbxpJA+s8oiDYpOrzkYrzQOLHrY32Ap8CIW/neriHfsbibxIFbixFgEk
ESeuzE1MMuojAePoBUgAZkUnMWq2FuqTvGFsITAmmYM1Wzk5V9JJN9CGyMVWs/vZyMN1Y+AVEGWw
lZwEV23COK+ttcdIh7Li5Fa3anrzXZqhs4mwoSm1eIKauh0JTSFPi2Q9NfsYDf8RteIEjwBGmxaZ
R1svLjp54i6+GUhxErtX3upM4IJFmRWF2yIA6AkvE8c/0k6mcNy+WQ1dJlC/tYocV5gcyB9RL0Vo
g32jlTehHkNq3C/SRtV5zGf9ezRUZAJoy9rvPxjaiJsDc87GJqZ2BJ1qhI++SZ0IReCZQTYOcdHd
REx4euNLdFQzOGY4B51RotNDdrItOa2HKT7zgZA+HY/6VGn3vjVEpN2NL+SZlPSzctwQOi433CC7
ML51GUiPeKj9s6HbJP8FJCFqT9o8pQC6fQw95O6gAlTPU6k1a0vOjz3URPij1jpp5S7XgFVkBT2u
iqY2oRaLcGHEZEY050khVRRSFn1WE/AfzzDMJgIDlJB2o2OsZzVifsYDu+pZskoyjIK5/GaOWEy6
DACkD5bTQ5TpIRZdd1ZElCJtLDt/Ht7R6XGPtk3oEUJ9hMb9ruvaq438YQgrVyU00ClQOPgWGJIY
1ddyQYi6Gw+NeMvCHBAL9WWeklzg++KVbOxga+X+gxm2H7bApB9k+TP0gUd1uPH6P7J0kVVpiNIT
x9ooooN2TYiznwgNGefnFNMML1VbdaM8jVfM27hTu+RA1sa4tkQi1rERbpwAVpgF5SJEmJK2L2Yy
Eh00xveBmHYACXCTMtVfkllXSlTc0G2d0CojeRg0Z6tg4qNiF+aq0/VnQlCuhg0hmqbkdUwsLDEG
84h8MEI8pzsLyAgV0t0MVcUp32RmH5FTphSUdC+dnvopo7sHiorijUMCoUJ1Pr/KLmZumVl3de1/
kwvfP6ZF5sFbuVjclaUdgh0n52GLocY2gQvFY/qjDoHC+qX2HXDQnsmKf0jS7DgaFByCbiVOwcBE
5OCs67B2Tko/Ll5TE+CkEthb1XlFEeafdVRvPgP7/UQ/NgJo5PRouq0OSWSSJz9HBM3btHgNe5iL
6TgciyhlcJKh1q7UqQGDC7/BYpPloZteJiJKVtMiKcw6OrHC/ExUfckeVCcyn637OOtjz5TENIRR
hT6+h4OerNsS2o6PGnnlvJaYyejq4rLvkGLs7NA2zqRnI50lZnBA5LyhoT9xIdt9lsIQjDIWhFS5
hjFN8oQ6UXSp5soCRFwYV+eh6QeYG8FLQ65lDozBq+aC6Etd2RYVNVzb9XciRNZsaIjR/SyBNqW/
Awd6QF3PkgCi0HXezYHUUpOutuvGec67SJ/o4CClFc4rkz/urMkEw6O0D0nfZ7R+xxh0I640lTLO
ruxNF/iED4bkFKXE/hCdB0N1qt4dJIJFOpDYoWTkmeYAvA1YvTPOBBcjUyrf2tCCvbicqobG3hA6
cFMaNUWOnT6JJNeODjn1xA3Ym3JdUq1tAoy/685ZLASsTJ7EL4Fu7HsOsSIMHAZpwaO+6GlDGzSg
LT9yGqlPI2k123gydFSU0zGUGRmDk+Icmk7TH86mOi6pksOTMbLnBDppmcMI+SVrXkyrQKYfwe4l
XAaqg3Woksx8wT2xUIW8FjIgaY8Mn3LJhwJNRDvn+IAtXxDr0KlbhWVZnTg1ly24F30i73qCr+KN
gIY1f3I2ThP8KOfYpMI2YW+0ICmK2QzvF5ZlhNLHoQeNsixp0FvRZJvZ3bCYc/Qa8Fp2oWAAmGKX
maKi2qKhde2uH1cxDzX5G2G2mRE1eFUaAkIZ4xeQQXRk+3E/TEmzJqW9BuRj7rqKrAGe6Hxbck1a
AxJpPL4AWekecvGTxOZQ1eejUrGxNbnR3GtK5uwa/SrmZjcFSIIyo4A4Ls9s2fa+JwsytMIYhNXs
aVb/MytjklscPhu9iIuNbbMtYcYL8RN3zKhIXHLLXPPZuskW6vr4lFn4UwEJNlVY77CGb2rRj5u6
gNNkJ0N3ygxlm+WqvjPCBg9DPUB1YMDkSoLHRfweW73pdXX30wA642LKWZEKizVvtBtXQQkYogLh
E6YTXWlwfnq3HVhKvh6z5d7vw8YdnZgSuB6rjZU1RDpacs1E3HTtEpNKMC6MkHH4ZKpHNxvCfjp3
IPai4jNwsmxNEfhGQbCgUggjGtMgR80PP4hQCs2BWFg9cQtELhR9ZTufDNnNNxSnz2ByXkK/nR+Y
fQuvCdWfzEY+LRNsrwLVwKtQU3iA4mDdBGB+ylRqeyrmcd1XiXHoivRC594gifowxhJ1WCURhEvr
nXTxozbFxRk4zxYrudg0Qj5h2ZrPdTfcG1aVEY7MO5r2U1+eTEQerp1WJwFN01ak4fnB1B2wH2O9
1LRyj/odAFVpPqNyMl9Cp/c42z51hZ5+Cy6dr2WnKZHPjTXY22aCYNsSCK725XScY+MzzyWjg8YQ
p95In3u7Tm44ka+yaGh+B0XhgYT61GyoQNDLYk/vB/uQ9cmdlZrKGdzOaNfbKA5nr7GzaLFzssWf
YCcHhwrH+3WYD5ZKJkACG+1WTdWDmuibKQ7qHVSsZpXPnA7qLvUUvRfemOkjckXqPqOa9F2ZK+k2
XQ7xTctTq8liehprtDmJ7kIsnT+yLgDaK5Wr9O1PVQWGxwyObSyy/S1mUNPL8cqiEUOsSu2XhM9Q
Ap/VHKpupveOy5jhI5Z1/DCX6lm0y5tB2LaFntUcxqZ7qjCWX6QFG4eIoXvycznLt4N4nfRyR0dh
42dsX1gDO8LWQ/OsqjVmBTVfsFY/cHTHu1CptoG16CMMThyRRe8hYuaM6NXw1+Tn6buiclSXEfvG
micW6mbkJE1WA1TSdofXKzjmkMIdhSNuZlfJXd6bzzC2hFtqDig/Y0HGZ+NdJzJrVcXyBG7JPtLG
3GCe0rZABXl9MyC7To/PYMtOElsQwXL6HXOlixHNwCzSDgwe9nT9uUFBceSU5aysfuTogG6U9Fmx
anRcCM3gopMN7gg3dxsAGKcprtDd4nUzDPmIS0xBcqZkxlF1rG2i2VDQ5pjQLUPbBYWieQXHAK56
QdE4CReJX8Rk2QYxQQIe+pLqIsWCHKwbfSfajOrfTstdXuJMt3wbGlnphKtZA/Vb6z+zEZ7VgNd9
nYj4+6DUL9RITzbW3zXHOALdEU9RE1ZMZWBceV9/qd+VH8FQmh4e92mNiCA/2CZWYmNscJNVFNMZ
DNGV1pGeZHY5OxZNigRATWu+UfCu9cGyLn3BYAdygL6m4ijC9A7c2ZtUs7cCCeQmsaePYWoNCr/m
B/oE8pIcRXsZaPH52OUuDegB8AOPnHcIZs/ak/QTZ88xC1B2OCMa0QbHU2eORV1ZjRezxMKQ6FQo
imLUR6Fn987UfCfMpsjKxeVlbqdh/uhigStA3QdYKfxMeUza4TUof8az4RVUAQjwT8UIm7rIv+mZ
Ab8DRpLo9TubA60llUdtIBYpj3b6QCwZIeJB7n9kMaYVB4uWr9/No0VJGp+E8kOT35TCxhhkXXC/
nNTe2o4E/MILtdeFAmOgTMlyYGMaKuPO7mNn5VBuRrm20xKDwJ+Qn2Hr/Uyd8cg87UdOfbcigOQu
SBA7iqJ6DRW4fgmhkOjnxoGtoB0nerWGxCQfRfSX12kafRKPOS/4J1EalyxA0Jjgbwz8hrXIfnTG
6K27TDZHMsklUjrtLmV8zFQ0pwe0vA6ZY37swJew7CWf5HRDzGe1rdi0/MzaDyL5ZDkHta2bd9C5
90CYccDM8Xswlj3V7DGr4/dpYZzSHGfJcD4qs9uEcfSz8Q3XrzgGOyo9r2yI3jOZcbjXOb0nRFMB
DwxCSKkQVqI3FJiojeYErW91LhsYBeLSZ1H2NBrGVe2m4GoWjurV5FGs6kUliA1gbRlqT6EUfBoV
6n36sURFWLwlbqJVMDSvYcBT42dgO+hxDVxag6gE5tQc6wPnQDjzjWRMYIEZVz6PA9516eMIbVmJ
6d2hidm1NRfGmckAd9KlZVnHx2FU46OMVOHZtDhpIsTFtSNPTChhcM+RU7mb4LnuqIppZ0C3uGZD
4azLCONXzq3MLLoU+6qgijNNIu1IsZiPBYuwiPEsOuCu3LBLi5PS8gUa8hu3uzw0i9h4qk3wJVw8
HneqZ0OPDhH0NVf3Df1YCIfYBC0tXErlhRAsfbLnJ9WtSpgLRpBgXy7IYzIrJ3wYJqeGDp9UrjIU
Z5DR4ynJxEAcBMD1obN9NwKn8dR3wHAHKfr99D9EnVmPnEq6RX8REgTzaw7kXJVZk+16QWW7TDAT
QDD9+l6c+3Bb6pbOkdquyoSIb9h77bx4VS0xC8gmoYhV/r+YkuEJD8vd1kSDEJvx3QsdH3yR0UTo
bNgX3YgvqhqGbRO+ZrJeyLrGdEggxh6mBEnoczGf2tl/CyqbBkr2vDYL4y3lewz6zMG88XcpRq+V
ogsrIKHHooFTEcArANnRyxrrHDAK6LnGP27+J+YP+WnJfHVq6jykokUUoZI6QR+NsmsOEhYMSzOz
7Fj8S1g4W24o+yABCEVhVTaXamz4rmVzz4Sozy0j+UH1/ZX8+s8G3+9zWLlEg2Xkb8K6eQqqVz6K
27SY47F1IaMVzhIV8z89ivyMOWcNBE00Qjg5RF5nPBe1N1wt57PNGbulcwBtkpcs00/e6KgHuvMN
IsBhFwZjv7e84mYr6NsQblAwrAgjIgDo4WGy7RVtiIK4ei4KFgLUM8BjYZyX/vwqRiw6be2RR8Pa
60xgxC0wZ/+qvPZuxiwVXKTOTlMflfLgvfSujYREPNTszSd8+M0lXFMgqAh+m8I95c2bG3IZtuYc
cpcaFykn7zEa2R7pHmbNrLwmHekJFuYBxCLbklymK9smZMSeyTAlQ1AcT2YE+eQnI/NLkyTmBrL8
F6GdM9l21gn5+sraEwzpAp6wDXbyYGNCOlla/QteCvcDU1gV3IvCzrdmN0DZveh5dPdhalCHZIl7
bFvv2W0t4HBVfW/yN1lBUk9yo0Xh4/yUVUsYWEnXMzBEm91tXS3GzkZjzVI9fs/J7t0wAAYL2sOO
4j8RjVWX16RSgcCHYaxXhQgm/ZjNJXD1ODMjtwNgDt+Jr2+kxnJ+mAEoYqelhu/K4sskEz61lk2w
JqogfTt22d20khLlpAYKZOYFrU+u9otLkKVf2jZPjXL3CC3oN015mwrnU4RkNqrS/KdcLLulWPqN
nBfxYff63Ob6UuV9eMwceM1J395kx6QTL6F7KbLsyER63E6afVzjxDn68AnHTIhfFioKP1BKXkrI
0Ivj5dccCPOttMsPu2a1KKrmSzc/ZWY6lzwm2xDv7xmL6zuZL/OZzeUJ87+ITA3mP2HQdAJCsy/B
nz3HDHf3Tr9Lh2K8Ot1nEf7WLbEoxcxWbjSa10A8rAJa1AL7pkmOZRmTBVWXE2MCxuZ53GC+NJvf
3EdqzzlN3wtRtFYkeHW1+e5o9ynsRHfitY66jhOuYOdGoWUOjJpgUnmQEqwLDgDnEDis2RjE9C/u
elIVLtPEOqfHIm7T2gkM2ZHZGtMZhkqzpUg/LByNh7BiRjNX7b2f+eAL5ZqsmuxfJMq2Rzcg/sGb
m/jeQ3LYymCI5DhlOLmgHLZ4SoiJxGOcWvHBRMp07Mb4Tgh0eJxjYMc9CSi1oSHlU9TgoSJvtxqf
tO/UL7R/m94a0+eCbu4aZkBX6BzP7mR82WFVvYky2I4pGBaTk8Wr2+K5qJjWFJDrs1bwu+kFv6EJ
WFvVkjsZnNGxF5mNtb7A8mXnM3DeDhTAGgA6LPGMnlVRLPddDZkQEeu02ljkDD9ryiAQtRSj57jl
gxfTcCCIo955bZg+84nza0fZlOlvr8CObK8Loqny7n1NBiF5ouPW69wJ6LtaS8jWOsdrykEfrAeR
oIJO5cCOSourcye2fbkjtJTP5LJBJ52yJ5mUd0+xZE5nj+X0vzSD1RUktALpGDsbl1QcpGdQfios
5uGoMdjaiqwCexAHt1c4aAucz1VWL2T3cX4Ng2gPE3lUqlvKw6j1gyAQeKG+98FoXPAEjbAak2MT
2PIrIbByl5ZvSuTTQXsVi1UbRgXGxgO5Wz0RZGsCHeM0L82WH1YseYqv3WDZTyUz0J0WjWCImiGT
cwILzq59ba14OQ8APfZzPTbHjmMfoN1PuuDuJ7VquFn0U88N8hxCOmdKYAN4r7uz0j1xgX1Xnlyu
6HXmfOCyGr5Ej6WQHeTOqEDgwZkXpxSgDpMt03xOyTWHNQTKNPbowLzm7Jg3x3eKvQ78NwcrGWlI
wVufz0+WoYnB0nhRg4LV0DIjeGjli6eyv3nNxDpHPAUy9g/+ifTUlIQpLh0D5QlAAOH1athoL/s7
NtNjPV6IOBlpi/h3uEBJXOi22LgXv8aDFzCOz30PXaALZgPGAprKpUjcfWbOn+jM3oU1uFj25GfN
YNDp9Ili4R80Zg2n6dbVtdz2S9lEitCCjTBjrjiu024TDCxrUjZd+853T2N7DEzrWqbkBM0Wa07S
e/Z+w3bTsJbtiO3jEJr2jKGLxMOwuSm/+hBrdjbU+WwrRfqXLrA4/FcuSkreuhHPVgJYDvGd2Szg
lkgxMZd3T1S/AgOJYLBY7w7CCLIm5Y591o/EX7MGDBOA6fTAYqehhJn2DoO951KTmpvEcoJTuiYh
5XV6MBIPvRm6iRG5olH/wYfFe+Gl4jIulv5hNx/VrHzyidLgpMbc3P33j70w3gFDFCc/853r0DnU
SDYk8IKAkc0gerKDW3kmSMnfVWmYcfezMg0CkPQeke14Z66FuS8IrysthCvY//5VxVhtoR1mO+E5
46PrC4z4xK0yfoKisuTJR9/7L2HZhfcqZAWnbKov0rhHQnGRs+B9DClRjpSc3bU2Yv9SUUKFomdi
QOGSu2L1EBT/Yurgu2Grqzmzus/CeNpA0vvhp4SgwmtXuLuATY7vHiUMoS0lF0G/HyANkkmYNWeD
rGrP8C+TV097HinC7XvDfWHpw2fWUYGRMRrRY+EZ5x5myu98KmLSU1rNYHLlzmucf2MmoiRU8XEx
aHMKzmZueal/pclFNcsjA+bzzHTffUUUAAjWugRV7hxclQesx5xbmfZq24ykzRiWQ76a1R3RVDsn
Y2ZH6KQ6j9IkzDf8UeKezzNfbPbXdgv/nKxb9apt8aXpgcVI4i6nxpLdKQdduB3xhm/tyrLf48oH
cAdtPwBRsWoA7AchmZZmlZaWbfsCUe5DG/prQMBxpP0oidjuI7tb3hQ9wxnj6LxzZ0TdxUoUJPzg
kmXy1MkhuWW1b2xIuSQ4ifj03C+9axneElkm0egWGZT8uNwt4ZvU3ryvzeUnoMrqCL8ZbFdqPcwy
fJKsH84te7BN2WWPZqqL16oUoJqJm+2GXeOum1QL1MiYxnc5UkaNFBmHvusJZ1PGxcKUzdzkwLcw
bCySuxasHCjHgtsws8SkxC4j1TfFaoJg7iI4YHUKaJdRz7Ye6ITqJNvNHVOa1mC2kvt/+C0IfMiZ
YIOPvuS4dnflFOKVt4z8OOar3zUuzjVMmXtvvaAG/R5xml9kM3y7LSZec9Q7O1meEuHaR6NYrvU8
pAd/UvqCK4xwovkKofrbKjW2TUUHWoElqac8fspJW9jOU/TfB9nCjhKE2e8Lt5rvbb4aWFVd7KLU
Ft1DSEIKJJleRy/vCUFfzOoQaGr0dmzs9//+sa1BSGZTAEjbCOybGAf3htOT7CwpjwtzIS9Y4/5k
cRji6lTayn8UHV/p2BzMYvAv8OjVqa0KfXbD5hLo9Ee8rOI1PxgvA4febgZQfw3C9DHOI60CpYGq
S2RfeelHubN8qjI2EfegUElQSrFXWn6HjdtFS+oxUFo40ZG26EMOZfIieph6+Xuitf8X981AckFq
vATMEQ56RfmpjOCcXo2HMhek39UdntDAZSQtl3jfkAyNk9AIt5iXSVNhusiGjVmeCI1bnEPszFqr
u3QqqK9DXfDsW8cq42/C/3kIYlLxkv6gMxNO31xbmyBmywJ5J1xj/qybZZF2boY8anhGIw+qIBcp
YEz+gjyS7VBvrECM59CBB0GDhj7CF3vL6Kv91KRqO47N3dchOTQ+UP0MU4rdmQvXh7b32iAGVle0
iXIEcFkMFjqMLu23dHvmGQvao24avf8vI2cWsfWMbwT31mPwmDM0iUwimI3fBblUT57r4JbqnMOg
dXMjve5UO/JL/9Rm35zKlewe+1c92H/TWOtoBBobjgpXb5Gvkd6PUZB5DvNqPo9p8whGq1whfxY/
EoMfHHRnIl5hIPS085XbmxsQntMTkZpVFPIicN/nwY+MaZu19ye7uXsgQdDcgAxTMfqnOmAtTCQP
MYT6gtdNvuSO/7peDmmcx59OE+5H7QL+A2YA4hQFCFEE2w7p+9UuKzIC3Hg6sCq9pwSWPP3//8R5
8rsddH4sZg4QRh8zr7NOrz5hM5FjAVktiWkZrSmh97TQNRmY8sHQvDlKjk8TEgno7YDa5hqjQ9oZ
HX5/F2nkIv+i5wbAkHTDHe/mPlhk+SjH6q0Y83eVEhBu+3NGUAftFXsDAMLxcG8adiWhQGy65m4H
0pI3/DfHoW8uuBnMQxUH9lNoWvMTKClz0Keh7V8qrBWkbrDhFit1x9EOOiZOS7C/P52KeSihJuZu
EjRT8hzA/Y1iWf2zRf9coi6C7etH7lJ60QTLgepUDMRWwUv+wZjjM5nrx2wFHwZP3Gl0GfCntM+9
HRQo/5lHkboUXMsdoW9mJHKN3H/6RWZTjs+s6a5zVTzjSa959ScWvGCP2ZjucLfdJFoHspn9+2AZ
2Y6d0nZadbNuaMZsbwGKiRihGjCmLflU96DxHlgGQJjurQqN0ODsrMIH0hmnP0smkGMtMhCnLuOa
xPpdTG5z46VGusUgokzIpwmakIiWODzr3qUP4XiVUnDGOg+YgsEJ6PLRbZthTx+Jg3xwI0IP7rPX
oNvLQFGmTg/H9FdHVPgeyQb9zBjc0ZpdJptKI04BrnbkzuUei9VOonWfBYEHIv0a8jl4yMF+BVi7
ab2g2tYQL1kt+IJfSv3zUdpeaGj+KDdzrmVuT8S7tvlOEdd0btt53kHZ6PYxmY77qRqBE9uMAwyd
kHY0yU3vufLW1l15dkr73o9p9z7FrM14SrxHImlphtxJGDEwHyBGoWCVfGtdmAWZ2c+oYMS3HcBX
TnRNGqo7OYd0WtRuQIiySVlfqGG6LKJ6BaRmb6cVquwL+IFeGX/Vgo6rM6yj2bn0ZM5Kq4UvgPpa
vHQdRR3IrGvvSZ7J/DrZ+XtINcrybTgucfi1SqoWRGnMXLT/1Ld3X7SfLO8vpCCsO5Q9PbbFZjC0
DXaAXNhQWGPkhtt2rvx9X3ufXPm/9eAul2wkx1hNBzClh5e5Z3xZqysmfb6s7B5rKIOW4+wm3/1G
v414Lnf+cLKd+3rZTyZfl3rFbPhvwiZ0pJPdNAM2oiqo5lsXFCfpqu4hja1bpc7vQWKIzytFys38
iWbX2SZt4B8tr2aqkTKnNRJ20Kp/cqfQ5zqtk0doL9vcnQnfaJCWFJk2oroH9IAGsbng8P8gGgbR
ZzD470OR816NZv1DrVySWIDJAhiHLiPrOdIKXIubJnazM2UePnUC/iaKTsNULbBpk+WqzRZm9MAr
eIUOWe6KleMQFUEBSKIfX4ypqg5tTfhiAdtp06c8YIslPp2CyUlhojJPAmRdQV5RP2dfaZt8Bt4P
JXOP1A57OAlweGiXiDwyPOdJLfy9MbA7kk+DVb30lBg1dCvn21jnpUMjvyuKUjYHrBaRM3AxiEee
dsgpA+c+5HBmhyn44EkKtpCu3oLFiDdVzOrMVcW+pTvZCIhPl9SZvwYqj17BefTj2dnMtv3lA6dD
eaPqoxNKqBjLT9Xqv3xIfINbFg8Mz+I1Cdl+B1j9CHmu0SLSe/M5OqPp8f5UdOeGsV0fd3p5hMND
X/FWdO3G4H0BwLNI+RrHdv+cpzPBs8bVQFMj8mzYuk3qHOxyRKVKdnnrE2tiO0MZFaQfD0QhiMY8
WrJ/ZTT829LdTyhffCfsoJyQXxZBJWrCgk1DuTzHJqnchDAwW8AV1cPi4txNzdfOHdG6rpN84WXH
jHTTX8aax7VKuEYZjZ0Yn2J5E62XoWIp44NMJwLvg3fRgsib+vZZLtZpmHxGCtBlhsY3oYa7XA0r
nIGlHrnqjUmlmmM6Y8NFnGO/KoE1Kniwk2ViZYeCYBCYvePjp1OwYFJLB5Lbn6yDY7uRS2EHOyb5
syC3IInc/k7F8NoYPO6YG/9QT+5mwjHtOUN1kbH8weUGg1fexpRYZ2Gqfwg1YQtV3XBWQPOjSvuH
uveWq2uBs9BJ4KH1rtNrVtozGh7L2M9OvRzdysWKbGXLcyV30pjvcO6ba9K699rSKamAiTgFxJnm
FR6CzgC3bMsw3xeUN9ECHiiakvErSOEKl5L4vB4tp1i1mKLvLUYV0ynFFcbanvA2szcf+gNc2TeL
1ok/AtohgMUj4/f6oFyHbTPg831DyQsTO9iPjPEcq+lPDKrsC+9xttfpmsPaetxoXJcJDyw1umUf
O1r5jWl3apeui0Mxe7fRMpedWMd7sTxD6hqh2xTZgW1P88wE9LrI8WQoaijmRde4zHhTE8pAnoyW
SvbSzQb3w0DiRkVugK6yE8L6V0Yy8THvOQ814xrSB4AtIj9wWEuxfDNuzqQaJl+qR/vVjLcaCWmS
Dz/UIidsv0NCikoLUwMsUh0GzMmUf8IQ3u5MqBVTIPeEUUOLrd0olZxuXD6a9po3y8NWnDI1iYZB
VggadwNrwF1SwWtu1216MUH9ykWEF/AHFdPLkrP14tq0DfnROjXrkIE7pbH8SPYjkltkRnNNVUsQ
XwlQa1MaDHGmBKqBCvoigrc4W82hLPRbtuANkS4tRk3tSCTr6+dC2q7VV++LTxZXw0qFVewhhyiw
sc1eExhsQIWP2wPo6G/DTo2d4YSHubFAmvSPFY1D57dtHfmYP4VZD7vSNsZdo+Slz5oiklhANmjv
pmsSLzSO41Qea93UG7jVz1ar/TOx1J8ZtCMtwQyRZHdunQI7qGenB0/NWeTWQ7WzgCnuZmexDj0b
zy3Uo+Js1uVFeIt/5rMhrmDQ9hYFX3pwS323y9w9uyU011KS5OPPl7pFPjFJfSl69hJ50e9RKvz2
kA48antksW0fXDu4NtN0bjizGBGie5kBaYWV3rvO9DeDhCCU8VaV48ssSMVKy+SzMLMXDu33zBze
yga4Smmsq+FiT94NsIVq6k5hIX/5y24RxUeeNG8dPFZlOa+0c+As6V/IVO2N+UfdeqR2mYQa2/wA
8Y+u0m+LbYEbn3gSuBT+miq+eq748H10dU0HgTedUhmlfnleQsTnHa/IMWmFBZqL/GntyeQorAr5
UdYxBnHUyW2gueqGkbFigWkWE1i42trXvdK7ITOq4+JVbxPzxUnyp2clOWaiBjlXLi8BktYub14d
f34UAbPueBh3AsKoK9ofjdde0aWR6DwEzBddhnISoOlAuiaCaqfOs3Mu3d+ETo6UpbBaGZmKXRUr
0pNx/tyABJYVqZPJCKYzZTMFr1N9al+9+pmmyhWoQ5g8wnP/a/rVa4dUOgPR7DN52nQGPEEXb5qY
gkeXKwRBRL/bILCI5GQpsPelISjnAnwxLdBSbJlAKovxmeIVzlf66ThssngODo3vX5ZuZpUGYtif
nJdJZpApNSJHMJ183TN0acg4k7AiPYV7FLk/CBFRtDTHzmQ/US4nzfgVKRkMHAkXAx+vSbi1maQn
36QPagdIq23QMutB4YQQca4jpwOZlN7TAlFCnhgEaMVmdsOIkUGKrv4EBJQWgnGOzVzTAbqLw3Xd
AnyQ+HCCM4gEWW+LeHKIdKQA6ip098D4t/ii+SS9iGzAbe+yWavyZ6GddUb1GBBVbMbJPpbsqDZZ
cKadPQyOwfDe/GIDQ04wCVn2azmixk0l49qpCCPkpcXOKeObmGbxZNYdONFpVwYFdIR2/Joc/6X1
Efm1HVvVrJgqKlRMXbMiwKkvihPs/KvqmUsnI9SiWXLIztlTxf998B1KhxGNKTORBOHXtV4grcw1
mL+UZxAh0AfRVuf1vzHA1635nwDDQIEnVmVfl74jJ+B6ntzPabC+fatYDf/NLxpo7umV1kFlG40z
MgmV8c0jXN2iUSdm203Q3MbNPnDK8FBIBBXsmJkEhz307o72gLRuTXS2BRx/SoJjPSYvOi+pl2JW
U0K3EMyd76kxEWXO9kkjcuqIHD5MKv+FOJqzef47JMVv7UiE2p1UmyAjYviue8qVWRmnpFzucZWD
tczdNxXXUHTxD6LAIqA45EVWqMW9z5rk682IQmHry+xX5lZJNHhYoBvXPvQ9p2lRNO+oDBnolQxh
u4kOzAurLz2RKF00ctiv1vhDPiC2Z6+H4M/GpIGIinKP03DMvHDbS2u3DOTIewmkF81mcuP27LDT
GmBA0Z/GhZAsCe9yiXsqHePbQTK0rUGWjdUYHxMDxWOd1D/w36uDZdKaJFGj/WYfB6FNTeJdBEk8
kWPiVggB32551w2qnK3nubgjw/ij7viCILWQK5bRPHsk2nly303EIAjmRYfy4RpTebFL70zSxpMg
Tw7eq+chHTHY6K6CTIbCETqMnHwyRLTwqhxEgUDD/mm7zI7MKE422MpdNzKBqku5ZWafUKcV6c6o
w5Mzlayo3PqWwdDitv8YV2tFLZAXQGF+FuBScag6D9NPz2a8Hj45qr+QRicNn7G6IQGjQwUwQJ+j
eAYZkyB6LjH1VCVisGkxUCOnjF1BGP91ZPro5+pXbvt/ZcDGD7hzzaokGBi7rWk49lJvw473Hh9k
cgkM57N2+YYxPnnbntmcKtrf3lQi9xVp1Cge8ziVfzux/CvL4aV8RjlCHAm+p23Ph9qMUGF0rG7I
t/9Cx9lmNAzrBKhsIb1XNeJGq3QfDKX4WuaQlHTEnq413gYbXRTdT5igD+eg3YFaAIvdCgTZ5ClC
K6Qi8DkeB+Q5PD40R9C1PX6Led2YlRPr7AGIGv7EOVImPw6hnju4hqyWNKd6zvCFRHonUlSKqkoZ
hstql5muRzSgouISbP0ZMrSbsXipiUM6Ij2+VUnQ8fC5xJAX5sGzEGcrJEyFx1dEGAoiRoim4/KP
CeR7NiDEdayBG8QIXfh3g7/1neE461lt5TDUDFOQIcLr1OwvVsdbM20RpekN/wqPjP6Zt065E80v
7ifSAGtk6KJtKVEtfctbHkCXVCF2IuxxE4PoR7NOWJe7kEsWg1imjCBWfU2Kqd+ZAWImK3c3uAow
V1dkvMeuuJti+CgH95fftwt3g0sieGZt0JDn+665eUrdUt/67ThLs/OBT5HDJe+eORaXtkze7eUz
4eUec9DFc8EtPkNjg91qvFfksPPzbFVijlzJwFhZ7+7inJ9f++IbhzXpOCTQLL7+rnFhHWauHo9y
aFPOlJMVm5o8uJlD2OwCtevStjrHb0mJPoCeCq7gXJ5LnMQIdIN/Vgx3tSgFu/nllPaCc9mGU1d6
X57Zdg/ESJFBym23nvAlFo3Z5WZHvJlHEFzuTt/BoOLh24/DBXv/i0va5LFphwv9KIeiRKXvG3Cx
EyJ5cyO3dvmb0bW0TVRABC68tk2CttpnApOmK+Q8aKkySIJu5a2BWslecV1jlvSiUIyu2WgO56lH
hTeCNAIPRNakzVCyNv0vbw69Z6skc7yn8STkli/M/VVWHEdkruG1Db8tmyTLYnCefKd/FL9Hw/qr
+hCTFGemFxh/UA0+TbarMDyiDTHs/q8ZzAXVVfHmp446oDW/JJBjtqk7YNDhPgGL7v/KyCzZeJaO
93Hj9FHFHGip3Z9zjypTCMmPxzW3zVPNItiWMxpvRLhp6XyaMTVB7Ca/TLrkxJimozLvdSlOurGW
x+Dkkc550rKCBWzW0BG1mL1x8yDXb1WCKt4cdhadbtaU7lHH1h848Yj0AfeLUu/SAKnNPK5JxpXy
wZUzjF+Xgvhbxcj7YPbkKZKKROIR/e3JP7gc9pukoDDRcfghEvefDrsyqscn2TYfXYJfKR1wuCe8
EIQxEfiFFY+E9WTXLPV7qMKQZIUGMC6SVCX9n74DtlYBXe8p/btsuUP25R0IJ/MpFCOROMRGdk4B
+7AU+3mcsIou4YHxSX+qOTsvtS/uRcotqWMwl2xUkv2QIoaLLQaN8Vxj9xbI6/yvdixDNtLB0Vzo
+YjoQP/t4QZrNPaROWwiw1u+2mI4mWRx7YS1vsEBD6WY9al+y2b0iGTrJNci6bcwspiTwUEgXtdl
jeo1N3euyLgXuDiE1b8SsdNvHOBFCc0DskrqO7gMy6KdPbsk2jtk3Xys2JoLF/uUXb6q1J7Yp4Mw
XYe1hBLxV+LK4ktAFkVoGvFjxaMKSadIKnXBjvRJ0hrAd1HzdTR8KpusZyE0qIJcrmlB8PzuSBMo
QzmRRyen81R39xC7yy4vcS1IPOlL1i+nPGV6Ngs8ekky7g0vj7cQ/fbVOMxPS06NatAMTn816Cwm
ExVVG2GnSMgJC1747hBraiyzcngm8Qnz9rp0n9dbiW+bKGTJ0C1/xOafNmNQE3dWutd59jPQnsE0
0x6PitX3jUCLGV8QTpKaIVNk14X16sFQmApVPLWUXQ3a3VNTxEgXKvqNBkHyVA3i1BXWzIPR59jr
UOVj/sgpM5PIUlqdrDr+5wozAGK8FcbyWnSl+Vr+YHsz3Rnnwq8DT4S4d4lcUTmv2m9XrUYsv32M
CHX61nvkIYo+945hazyPJVPwDnrIDsVxsgv7BBONSJuIwowZWbe3kAC8aYwgz0kw3S0rMV/Icdfn
3M2/RW3nUSdRFnQuSfMhkCMeCKQaBgCRl1WEYdktsFb/mXwm+PNJMuxdWX4BKxD4tHQxkT0tPBA9
09he8mziS8I4v1WkNj0HIbAEBRsilp28u5r7QWNxOeiU/TdDYub6vlbHMJn/GlmXn/3M2HYEG7w2
hbfBZnKwPMTZraxzciFRqdgazHTnNieoqUs0hcAfWEnle0IDNktCfE+cspUbtCuisaMblt5sktuh
r/GMjcfSmNCRh04Xpw2K/diVN6tmZGJPIaghyyL2weQyYtlebdspaDZoh+0/kzkfS41BqJZCHCSq
7+2ShOIVbjipfgvGa0Q8zGKZmR1rcI8b02n7hz9PqCyVIi8AN62LYo79fTDuF0SzG+5o75Z1L7iE
KUaSfri6DDY2k5EjrbQRGqi0NHZjq3YBXek9FWXG5uBZ94TNtyn1q4UNF+cZ2UDz/CV1yBWNrJV8
Fq8jUq7qiAcqivpV99TD7eL+6QyK6bLEDjrYRBOPH0wUj40kxiVUUDKacqp24P6bdYmTHMyTwezj
rNLgyMIGa+m4HgYWeW8dd4dV1WU0pyI7TgL+3uhgdkYjIpZ6uo4jkQHDRN/JYmYjSZL+6axtshO3
pBsRuTFx5IEKNoPLMnYgUx1dcUaxSl8SzjUYRl7hP9LEpI8SODpD65mG0t80y8yKAbOIUlxcTSN4
+nrrFycVKEynedeZrS6tP5GLPL90tuVeaiGPiTutW6bg3tJDHkRnvcfDD2GgLY7FiPmkbI9y/Gtx
n/bH0RroyDB41falDLV9LmnCdxpBQAjn9+AGKAYZX6GfKL0/Q1NR8+PJZkiHvIu1xzsCZ3nE6I4r
MKNWXVL7FELOjZZyONe9Ue45aLyuYV4bdK9ZG/yxUA9sdHhxYlud9chEE9sag3hat5hZTpzXqF2i
nAw4XHgDUQqIdMkQYFVuoNZDmJFFzOcJacDdXKp84bIg53RiZcKe6cY0Jj8blkUUaTHtuy594IjL
I0+PYEm6cm+wBKS2UttgboYzwZHblPMJDW/1oxuT4ui04qeZs362mEsrtJO4TcpLbkjqLLcYdhAn
0OrDc058Zhu84d3GFnjK8tj/sqsYfnbWHQTEYObmJsGA9dieQHTHzDfYKEvDGeAdF/e+f1GLk/0Z
++ytE9zrjW0iIsYpXCXDClBRG2k0UcliaAMTqT+w77LO1Ed0Bxha+8nAu932+YENXLsxe2e+QC+d
DqMyWHRNZQIxhbmkqUbnJnVqbLWjmZW54xekzRxIhxwxxfsxMyEDD0cLZV2V7nscdvMbM0J9qqwO
n/+MRtXGr8oA157PhqDvoUtvN53ndhejSThCGid9hJKgrnpGV7JCl8N6cD7oDl8JAT1llme+hBrF
Z8MigBLGvWlM6/RZPDEp3zjuiSLfC6IeX/Ig+ROqp3TyyB5xWLaR+VTtdSxBpbgmOwle1ENjoA6z
ceScUgY52fpxDQHNWTDOHVu2Cb1dM+OmGfxlk2cSbyuN2tZg6tFUU8FwE729hZj4tc0ALyDd683K
fA8GBPTtuj2GFPLUu/qpApoOsCeu9oZff3LEtzeGvKvS+piQbcI2t2X8plnyX3237F4nSUO3DH4R
0Y6tugTSHhlUzweEBvWuGBiQd4FRs23NitcB7C3bMuvFLtyCXTqRjVVjVZeeSOwjbYMX2NMbFexz
EH+7MCVOVdctTzPZRQduzeb/nhJ3tm82GsaTJekfwnl5LiGt7KoKosS4JA2L0nITwBV5HQksHAaQ
8O7wP/bOZDduZe2y71JzXpAMtoOaZN9nSilZzYSQLB/2TQSD7dP/K30vCj8KKBRqXhPB9jm2pFQy
4mv2Xttc153fHydE1+vskTnAwnDYuG187UlDZLrUGoQPNMahIbQREb5+GQUhD2Mrl2ZKlroXvkZy
thcGYqBlmKQtHHz3JW9qEoRz/8a4gjk4dt+kLkA+kO61afn2OwuZGAr3kXAP1EA+u/tTVvR/omQ9
8pgczNEJD41IqK+S6GwNNdUMGaeA7+ITIU84lhL6vdggSxGxw2uvB3mm3atWSagf4RvNy5A50YGN
4oqAo/Fg4wwWD15JViKQtx478nZmTJ8F3cGQLPYZIxJESTNWYDOrA0T3krwPo7FsVBfVI85LBIxf
s6fOHP39GGmbPiRRVAletKSsJISsm49t/SHtcPgy1IZSH88ywIlDKGl1dO8aK5WF6WqszHhpIW+6
zAx1xxE0yOiIvdMQ0sUjd8Csd+OJK7Z60q9RMHZXs6XWa4ahXSS6U5tqYoiVYtlb4uR96jTpbH2C
DQSWe7lyLAedsmtQvJvJfKrSl6g2oxM4JQOsOSbNKSx/ptF1bp1ALxjElGY9NQOjpAybDmDwnNWi
YbovVYNqGZnUioyeHzSB3N1urJGnSvxh0x/JMDZRI0OkGk1N5HMroL/c0z47jFmcLQSTbUYyyKJj
2QdLa3yT4RAs3Lz9bB/6GmX6jC9Zf/39V7Ua11Nrsh9topam3ftydP/JHDhf5Q85pNm5Jh4gHutO
OgXH2A/+xfFdWcFzSus8QUo+uGzQqjwvdtj7dmlvtAxYoPL0NTcd0RM15uY2yNgNBcxIygxfA2K7
Bj0HMb99wYrDTgyWg/RGCtriehLTXqLAX3PmLFqdEdqZFBurfedSTvc2C4mrpAApbectqteIDm1U
lZO8es3wJVyGUpJZTkTaYoiPfeFPgCi9qCIzx9UPMDIcEfxu+6yrzX3dt+G2s4Nj01bjW1KR4Nu1
3QufuLm0nii3YZNOx2H6YKM/HobicaYpl7V9md4Nd0rveMLrRd85+4zTgHsaGqqwDVIqsEKwTC+3
fUFiSmKumqSy1nkaMXUp1cVU8BBM8xt9HqZ85X3m4Qzhx+LKQHXZbWP146Iu9pBJNV2ofjX+CKjA
O3qI/haDrQhMepKEmbzE4fgyNxAi2BSrI5ywQ5O73mE24l9GJ/Njwq8WZdPiCu6y8lX5glxrzY7L
t46tMsJnQLo8IjBDWDd2J99XkAwal6hJwz6C3iFfmUNeE2F96xIaWpZVuQfEVebUbCWz/rgcBa4F
Nrds9b7KkMIsIE5q2bY4+UwgEqA+OWb0gJc5k5egtylHETeuXC87i9IZz32X/MmSuN/7rYwoHOX3
oPkCELuW5ympKEFS3Lca484BA229ah7WXQ9G5Ibirjhb5HCv4yzAsy6KeO+ghmYvHJ/Rshunmulm
Y+EWLtzWumQlzmO3fKQvRG65jemnT9XA15oL52kCAX4TebJF2ExR6Pc/2soUbwdZ3WEbuVs2DoRE
DkD1xh4PeMlkdAzjgrxC1DkDwuA+S6N9UJL1RVZTskpR8e5rs1mD7Em+nUBFGLX0PyG80WXXetE+
Miw0iWF28sIfI7aLU8/o49zJ7j8fcC8s3XEsD25v+0fFKHdnS/vE8SoOmsi0gAcLWpVyAWkZ8i1l
2208EpKwf8UPmd5ZpWsbU/JvPiPEKVz9ee6mtzykxCc6e0vWNhkplJBYEPyzP9XmMSeth/keTZgf
kZ7gMx16wd1dkRGzbAqUNMEUCkaGSizngPga63dqOe3GlJ35rksT5XqRcziBDcGp3+5yBdiWyezW
QdGFwKCKVviGWI/Jxt9zIvzCDPbBImpiwA+DPA9GBLtTR+K4DWp1nvWTPVJoZhbbZ/SPDcH01TdB
KNz2Q3WVrp+t7SqUa7uBfce2HC9As7NgJxUpsStxPmHRH617ldbwqmub6bQFxjBk+sbr7zMmyvmk
saYZNGf644DazTBMvSWxSy9N7yH1ZPZnzTWyokwfVJNkSEOKFDEnciDcOQH5OB2i3bbZimriAS9X
5FQhSDRWfT9iwnqYoUWab4vvDlnhLrczJA7xzHFqAuJZDC3LwCHhXNJEqa+tKUEFLodp37MUPJC7
NWPt24y26Bc+XLONa7lLRwcPWk8DQEpE5r8/xJVjbSKd4JnhWFiWOQgJs2IHZQQPWlCA5UnNP9qO
xpdRT/uQH9GFqPT6QmmXyYI4z4bnIAe/tvIQ0m14Oaal3TxP0GVOMRi3JyctR6iY8bqa1YgaYcYu
FD94P2HzPTdMOTng3GXxZsQutiCFf89Mrelodva95kBZ4sCJln2c/tQ4VZZ+GBn7GWPhkiGTSeaI
jYuxU6/Ct9+GzrGwxUK8cXGYT9KajyJ6yMvarLp2vHsZi/f9hVlhBnGtlBu/JSvb6Zr89vfP/v6K
2ewhrfrqNOkWrE4Wxptybh4cGVnAacTTlYHCQFm3HgXgJlaDw5PlucTpajXRz8HGwmeJfaypoTXb
766Q+qhTTYwqixzyTyxGr2wx6HemseieZpZNdmemC7ilGCSquLjiiM/Jj4zeBqthfqn79gRq6VZX
U7/D5jlsxTwy14mpbshSe02E9ZrwdnkiXvRVVe6IDzVmALnr07658GDrj7H1L1P+qdMoPoX9eKMT
RelaF+u4nyqEdNOALdF1T6QxmiciUF4VxLNnihjnmUOiX5Kx9RhZPvZOJYAjaULj9UpFXHqF0a1M
v+oJRkhS48etSLRgTqKSt9b8cWWZnKMY84fvNpzJJSZjq/9VhMFbJBBn8ko8z9jLFhnZlCdFnOOa
4vHd6YYMbEFGbFRnk/EVe+NNpW54rZtsJvPT2TM0d45/P4yd7pcObe6x9doQsRXWwXlFSw16KqbX
cce6WwViKjZdANGhDKkYBzrTK+QGvW+wia8KJe6B6buEdfUnbPw4ujwDgZOL/w1gyqaNB7T8PjMD
AHibZloX+GdhEOt31mw0dDmRD1WzzPLYXkmQSkmLR47moEreu6w3jp7ehbn21qCwn7BNZ8w7L0GY
vSBtRt/ItVAJgI1ckJndnmyR20fEdp9e6QRISYtzn3kIPPW5tNDMNR4LK++QQ/f6qnNnU4zLWcJr
n+a4ZNdt/oCZ+XYVcmmyIOOtZu1zavdlNjFIC8C16sfIi61ryXFEjZykeXJFUxZtBibbC+TYEAjs
aoW3QKxsifKjniNSohP1Qa+d3lpNNwlt5zvIB+fo9hPXnB4OAFO7ZdVxx/Zjx9uo24vOK35lIYPm
zAmHT/JgP5gak45GrrQflf6uH73npHCmn4Qx22x0eoeHN3og8hOstlKgBwrR43bWJ9Nc/5alzQVT
Kn6E2iFzzgGDoOyiWrnBSAOsSFK1wnoks4uY29Gqt0wUrW/6JWac3I1XVUbypG0QUFo7rDF7xz3H
3ja6jN2sPsoA01zIWJkTgS1kkqvvOZ7m85gYL5STVAnoLp8j4WC+aeN2xYBVAWpKmqvRAoL0p6A6
2wYmKpnmxDQjw1wNVrttAuiEbjzuEefSofRIdHU1eksBqWbF9WKunKElrmpGzOgpQjbC3F6PbXSa
4nne5b03H3DlAD/J/GY3kR55go90DUqiVSl4frrc/9YuYAJkoO7KD1F19ozj1t4PGr2E+GB3WbbC
uKGOu5f5KNY0UdjqhvQgmSQgEMOb1uXMzSJJ05yRz3BQRfNlE2ywQ2+Ia9c6dnVV3I3sriKdXlqr
hXlm5dPa1tljLqteCq7ocgQikorHt/97mPMWt5RsF7XL01gynV8E5W5U+msI5dsEv8TDmFP3/zgO
GMp2qpm2wd5g+Rayqiyd58eJze4T1xhcqGnJ9f+3Ew72ALQmYlBCYzCP5oB8KuzZx8Nmt29Cr3xY
o09tEx6miuloz130QXDUEiBafJoi0VDyId5s/Kw+1rgwFsSmvfACe1fuhhG7UZvsBp2mKzAi+H1k
Q2a2LF/GktekytJToCHB6jBn4zGXu2CYMUuRiNyBlSNtwbrPOaPGaUbibYX6DVvqXjLwjodK/7tQ
K6cyP7ntLSig9qWBO6L8bJ5qBVV+CtzhJU340SjeswRiwEhkJUgxUHvRcSpBfeqKZVyZjeMmQdm8
YVApsa3HSK/DgazJFDt4W1Xp1tKXNicRsp7LjhvRSw9xmfzOh4Ntu+2SMxtFtcd7SnuHESv/it7G
QwJpNmSTiW0m+asW1HYqw7lbWZ4kjQfOi6USzASphJ4iCJ5WIb1NjMM198KFrZDMzG08nxQovvJZ
Z2grmgpbaBUhUu5Rw48KE6UdthAUacCY9MUpx1pCn8yROObkFfsajx4/jPcc7TaBDEAu0sQnuz55
zdtA3lGEUThMkd4S9kqDTmRrbSt4Pd51GgXKsMx4AgCbbGNsydRa1XigLtgl0WRtmwwjD1UFs+lp
jIjrLo52CBFBIidb6sirCCcJM3IdzXKLBgfChDL2ZPpt0qrqNm6Vx+SZxK8J4QfoEepq1aDWmynF
T67tzsBuaNlS14m3lpw4NOj3G0+eClUejAYN42SwjfbC7tkM0vU0i/CU1n7OhKoqeYDU3s7mce+0
BvKhOa42OurIl3Wb/KRiQE9VfgOPVz6FvXxQ5nJ/0xXDl9t33i0hPZrZDA+dksa4TnlLvFhujxhX
IpOXhLjhToj9Bf5RXGQphHyhc2uHRhptixc/pvBNu8S5QinOBnhduq1i3yxBV8ToWgZDgkgplPnV
9OeY+JIk+6UTlFetMJ8UXn5Sn0lYhSPqkkwZuMFhKv84Jbr6IAgnCHVDy0Jq+BypDXJErWZOiVe3
bzSqzV7kjbHsg27b9MAyW+xiFWS1khjhhWQnAMZk8FdD3k17zw13ZWMVe9N/Z9DCFTqEGyxL7EXL
cm/a6e8cXUvbkPKZ6CS7l7xygDiyS46er2n9MxScW/9QNIpe23sTwEdjW4KhNsi/KbGjA8ENl65k
1inZvWCXsFEuUHSZXKNnN4FXXrS/uwwRfHDMWNuR4oSCkS0fy82SdPITEGaH7X1ob2rYx7dQNRaE
BbmsaS53UdKJlYPkxcXJvm8Q+6Gcx0tgOAAJ+0gFhGjIaFMlimPExA8fmtgOlI8yFvBMivnfrzRS
TQWrbcYTuDBKCA8oFT4aHS1ZUxNSZUXGMnbz6db6PlGwfnyzx7JZJWx9mX+nG1tOw0sUQ6OsAvu3
mOBkYM2Htunlm9ollwjETLry2wlUZt6673U1VIdZOv8gUrM2QFnRFQam+R5ijFp5hFjsRTAee+1l
z4y37n6Bs31KCHbCnqp3qVXsIjMyb3OrvzxDR1tPK3ePs2fa+CODxqrMX8z2ztNu7Uiz98GikZ+Z
RP371Fno6mILA6wgr5aEl/TNMbcITuc9GRvvMMh3rWXAm2vkFmsaCrsgmVfFQzyYo8PDN55INusW
P6+lKOPnrJ2oLNgyenrtYeDPQkMirUCQA+Y1Xmn0/UCq6pzShYUPesChBA4PHo+Bs1KhsWg79heZ
Yd3NIEqPYcj36KEl6gqJlsAsjs4EgTMRIcaaFGycHqkBm/wiBkJFkUApTtZFPUTvrRuLVd7ma/Px
vBisG1yRffZmZSwcN8XqoX5Lm9QxM2UiKGWy6TKkQ3mECtEHYLVimlnBSeWrBzTyigUYmd+c7gBc
UY+Etb4JN/plJtGIwqtUt961CTAz18x/jA2qj2YTWO6mgMGLTFEBS88UBGHnXkcKh2Vs+Ifx8cFR
GfG7CQ5tyWl3CVnRbb1O/WNUkz4Giss7b+3T5EVficywcc+d3CK6ecstsGFxEUE4aavzYLCTtBMS
y7uSuVJoTxfVeWrDtXSfKo3rsea9PiTToVB0+PggCFksfxlNStDvFG/jgsUWxJZHVLnx2vqRZmSH
hwXqEdzFlCw0DPzNrfYFj2IRbeJRmOuysP21CnL/GpuuS843SnhmFTTyjQ7YzXxnXaBvumVAoPkH
cwvxxgJD1NroI2hqxSlUUm9lFKA2nWV5CDrnoxBNcgJCdvcbgeY96++YSn9XPD/mKNSZ91WqJLpp
EyXJwzs9sE1hMohhTIF1Q2LtXGYJTPzvr8b0+Ddn4/9HkvxfIklsxw1JAvk/R5JcVdq2X/89iuQ/
f+U/UST+vxzPNEMS4XjQLdcjLWf40+r/+T8C6xGeaArf8V034LOQElLV/84isf/l8ocEjvimYz3+
1v/KIrH8fwUk53mmE1qhQ7Ra+P+SRWJzf/3vWSTclRY+OpRaZHt7f9N8/ltATtpTdcHqnPElmAV1
MBTeoZkRP5b2q1H7b7NGNa7as1Lz3mGkaDqV3uMq3Y5p+wfTFOA18LyERlXrKK02AzhKurqk2bKt
P0y+7vY6t1dtO5yLd7PXD2wcmp7AODYa2WULhnbhGMBgpcTAp1J/W4UDxL4Zm8pjj9Nhj4CI/Wx1
BtQa9nAsfLOjrqtzK2OOps5mSRrdhUdWtNd4h5TBhtGbtEzj/NHFzgdKg34jEQucKgghTCmN6Ibv
8PdUhBhCqD/4K8Yfy/knauJuMd5Nl4I3RRN6hGUJTzzbT2NibdshNXaDcG6EQhXXWe1cq7fvBoLD
OGCj6A8IrS20CwKCPqQP5HZZ1l4doNDbQP7CGx2t8ESy1X9CaPvNWSID4xVEOYUFtBXWj2O1LIAN
xmwPV3HGC52hrIFVGaxLmbrIE9/9EcdrFNlMUy2k7xVFRiRpd3pl/rLy4VWETDuketPYA1w1/LiF
da7AjVZQGvu2S3aBRCzRuRqGS4C2BvJU+FA/DO9z067V1D9s88Nv8ifw5Dr9hsVNs6NJNZdx0Y8X
aXpX5VA9EjqPJTp3zeUMjyNvs/4569o/ljdk7MaVXgkvEnCh0Fyx4wUU1FpsDkr53PSNPOvAPIgk
y89JmEHwbdgkidl7s3rj3SqMHrCXC/KzhvtZ+kg6tIOaccQGhkDGQX4NSA9vxmcdVhnjXjqVvI83
hdWhpJO9ybvTaS/xOF5TfCwL1cf03zkIj9SZ4409xS89DJGnuXFplx6yiMmhZcFYWWRGdlGCKaFs
yJyMq7laz2RIn5Rso52faAYiolznWhukeaPqQ3oW7KJu9p569rbjVwPXCnmctNaJ7uWevG7U3CZx
xmP/HcE3WHPEn8RIvzYk3s2S1apzXLyHasbuGBWCPTXD9rYUMLu8dzssj0rE20o439QEa/RZ90S5
UMBClIiOfe1Cn0DT4a5sbGy14Rdr4d0nX1aoFmGtI7SBhGCE8NNdipyK4KO1Zfk9VaJ2N7FL7DOr
p93ci5rtLNT5yXM/PfZzG7vXrPYht6HS7iy8TOGn0bqfZsm/akgVsVRKoAObKEqaYm+VMHpr4xZD
NhCFqjeGCg6uCfa48b+D2t22k/iUscAlYk6LZuV2QGs8v7vkSErPuP0XcZX8cUX68bfsrAigMU1e
jK6JnuxoGRkE22RZ9trAwSmzn6D181tDBix1J3YfpKVXsC/Z3h590PKUVA808sGy3Iotq5DwgZ+J
lDRXyCr5+qQw0fW7RCdhm/odRxgj61+YEIx9Oc8ni/Xuxjb1yXbzfBlUpCqZDyUVzs/6WSn1E/as
SXHCz0yED9IKCGED30CFJqpjETvPzBDVKu1s9s4aXucQ19NpcFlw1nW7GVAmrGwjDZniwQFlHnIz
OpEioGaqno9RwEalDqFh8CssrwAcLZJY5Nge8KCw90NNYqflH8SWL3XcYVVUd1r0LdGONgWr/Tbm
zI1GNOVzsKB8uaR1LcELEJkDoG5GvC+cE+E/4apkiblpgwZKhRd+R0XeXua+xBciCbgwwnQTMcpY
SLg+GHpQnJkybg6zN394tBtnGiXyTibUA5FGo+mL5OJH7MvggueHkq9Y4On+pL07ZVWXLK1WG4Ak
OjBPhJIvPeoxTtVmOQhX3bAbkmdZO/k2Rua1ACSO5yJ6d+eoxt6eLhrbN4gk7zFaFLTcCGmOzWTS
iHT5a0tqDs7wWFrf0TCiCvPkiHfSbY7MadD6WcTKmTD1uEDLXfdYxxi4KtAWet9t687XlktvbZhR
sx8DzmumRQABBFONbnLDY2hYN7sZ+9OgvZccqdu6F5Db0Q/wxiRtFs0jWUt9fPTBUlL/eVtYR2KR
m7BbhRMAoKldGtd8zRcTXERo9Hti2h1ASPGP34HpYhLWr+EBkiUVOBHi4OYtD8TvVmTuTjO9cpT5
UxJIgVCH5YUvqvY8mpggSVMXa2GBYm2r977jhUqmydlCxTqA/D3SWsdudCDy772YGSY8QnsiBtOX
ktHGUF2Yya2pDj1YhiG9vDt4v1qwxqpFtpeV46Wfxb2Fu342hp4rHSuGhtK28Tn0LmYvdz0g3iv9
o8C/UvjrJmFPZ7IeJxmFpUfbc9wEOtBkfvA2+fuhxeK1GMcWkfgIPzdt3C8vRiKiPBBf0ZzO+1J5
FtzIKd1kgxqpxqu9CbjpZTDspRpC41dVonsYdLT2kqrZhBg6X/s5E2Dx5cjanN/i7R632tf+inM2
B7aGUV3N/ltn58UZbe2Iw/vhuhBQyc0DptSAGPdxOKY2nYPpQ46e+Sms7ND+KHNKgdmtoJ8JIE7z
l+cg0v7u8SnCb2tJsgzRdPW9OW9DfK25aemF9OidXOAhDWb3lQhjbkq33GNBh4CDGCQ3oycIeHP6
nnm8DjaqzoCBNy3QUzLPq45ZIvpb4IhWe+05Dley92+zma4KYSCWn6dxxekB7cyvMPTFrHGSlpCR
ZDjzOiHklJEJvjdBPBUfhzJ/zbY1fXGro2sx94zWZIda2kyfVb2shLnrvPboGmaxnkF7jCHTYayE
R8/gP8tG3VFiZxvrXRXtSbvR61z7S9jj09olgvMQspc4iA6HeCQkgyB7zk4yztDAtOpSoM6sDMDL
SxcM5I4dPLJsCJYqt27MGmCJPB7G2CZByGJEDSQteEJ/EDxNSFvWoKmBsgcNZ+zFSqT4UlHPbkbj
4DSZByLSmtB/daQRsGy1l02UPxIck2ATiAcvOhxWnTL8LYondx0QBXWRod4wa/8nn4ocvEjcUzbV
4jHj5BoXvO1ZM4Znv+x/ef0Dw0zF5QxBsEeEe1LBA2iCuYdPFb6DvQg1tpzGRE9hd8jHawUOoE2r
8ZhmPWLsAZlQwoG3GgMbiVbXGkfS+7aZ6D/IRUJDOsBZkrh1F7NwmDj6vnNM25l1qmn8fsiu2Qsy
ryccCvmt8ztlMgKgn7VNEHWnUIonG8zOAfZ/TZT1Y3eLBIPhZ8hcPBmrgxV6yAHCmZ8iMypPU4Bn
kJ/8oQpOSeJbSyPp/E88bK+7DUu3+hsW50frUeT7iNDWRKDAbp++Pmeb8gy9/AcoEA7RTBkvhsBQ
AD7Dg7T7NBRMhQuK5zekOumCkZRxtlSPmZjUCDkOER7z6sutoGa62l0gEFLrQE5IS+to/EjCaWFp
s3nyYUuOzdSdtdkyH0EGhpY3M04DbDxLwMMI8l+GK/IrqTPYL7tsn82m/8R7lbV4WjQ/f2GIrDu/
Y6/0mbKQo+21XDmKRGXYZyX7rcz4Uml3Duc+QO4adru6DZMtJ665kyBP10N4t/FbYXMI54sdCXYq
cnbfnNRNt632WNsH5k2bpX4NSGLdxI5v0O/X3qpKWkiHEsUAJUKEBFqLF/R39gl3LYIwsqpe+N4v
ZRvDaeuTk6nIvJ6nStwev7PwA74ijRSQ6JFGabJLgoEo8OwzYKzwhLTeWjsIylaYbKaUd7lHxnMf
MFB5/OcwKuajWw8vhp8Nq9apo1XgTcF1Dqvgigk6Pea6vGZMN0LDsfZE3eVXl63myvSVszKCThK9
DScLde63OeXy8veDawEMbKIrgliaqlFtetJCbvrxwaMMv7H19UOnXnieKkBtjOI5BIh3jvVJjuVV
4SqbcABs+iKznsKh5ioqmMWKiDEQnmuY2GFQ7RPkqLuykBCn6fQAQpBXMZPuEj4kjcr24clXgEhy
phkm+17fwZaS4ep/8afCRpuKyzvly756dbIwJ4qckS31zwBTqmjiPwTKUetZ8QLHjHf2m8C6aWg5
jW3+UpE3/TYLvDDVxZUkQNR+e6hT3Fa9rt88jf4nar1Pfxjczd+c3aQfvt3Bzi/caKEln5B0m/vU
OcAZ/2E4hsydhMi1wJq+bT20GkUMdmgMu6XwfFpZB3inpC0KVFW9Bjp/VY5UmxJYyTpTefFl919k
FYhD3pNoDKTTOYRNglbdYx5WL8Hr7o0unVc+9MFtGKKaA3T6XXY15n27zjdlFwaklnXPXc0oM3Kq
pxGUy7qjdXCwJ2o0L5ioYjieUW4s4UaC5PRy64Aebg73OOZGojQ8HyzpM5cKNuCufGzFA7DiqX9K
B0h54wwNppwQsVcPww3r6SvwT4L9BjpwD0tzU5QfiRmBYtf9s0rm4dTa+gFg7M3Pyh7eXLvxnz2p
qpPX8PKSd2Z+dnHzWqZReY+TKDyaimylv/9/kGLodWT982iVgJeROBPb72IqOcq3BNKHty4n024i
ZNkQVYAMa7xABMckKlgw+OAUkBrmq9lyWNq1vwimptzI6yWKO77+sfA3vI8Jueq8Fzw/27jhFrH1
6O2KMsY3wgx/q6TDy+W3LEMAfT8XXVBcslCCJN6Osf8oOMsLhjxou34A0B+Uxjv8vA5hQSsB2Cfi
uWF5Op3TskOJZ4MaJa4LJ1KE3bLUvYYLBHOP/aC7YkSoFn04jy/wYZ2nOkDtR7ic7Ky3ttb2EYTL
Q3BCw8Et/FQMKbE6YzY8dQZpLL0Jdr404+xIhnJ5JB8PwlmY8EzMhCX0D6eiyPp51VeYDWTE1sw3
m+TVLqdf+IDyezSZEAMeROV07tay6wEoMkhghgIjsW4sGn4Xs02pxXrqAHllNU75MtfFnTQ/+rDZ
LDaaYgMOAoNYtp7GWSWTcRYerUIw+M5KxJieBAneV8ZduJAdIloaicWCBBe40x0vCExMCu04vHdm
8s4zrpL8PeWyerZawnLSkq2MS+/JyYs7m7XZmdghm4Xv+NHH5geSkRL5dfCC7iY8Ndp95YZIt6Wy
wRzx9m+9stsyoMrPZRKQKjXpQ5bFx4hRzD4S/a20WAQv4FupjZOSwKPU6BwynUtqjKq+hxPYgsIB
aYSSO5rlPxCcyxIGamg9WBEd032+5QiDFjqojY9ULQjdP7lb7TLphxvLhWlVFS8oSX8rPX9M8MM2
Y95/XIvI/mKahC6vY8zOzxI68rzo/RFACc1sJsKPnrUAWhcX2leV/wN9AL2RvhY6/gKGRLihmscN
TJ8Z62sN8QjVjIwkeSIczFhNt9jNHhgWGOdt9xQZs9iamfPpGeQBtOkF42F+CN36R1mz3jRAHRnX
6bPn9OzOdeUe0ciQKAmreK1FV77gaP203BlJE+iyHXlO/mnY5iAdrzk+/VtksOYAyHLogegfzRhL
VV3cp0x4FGfcCdDTgVSU8oYMkc9vt+MbYIRfE9ONNZu4YeEGaXHyHx+GB+vu729Dst3SYFDrvEY7
Ho2ec5N+sW8YLx2bYAJZyyWdSts7jkNCulYCwaWwCSNgeya5L2vE0Bmk8GzILkFsuWs3BZQz4wjd
5hL+qc6flA713e6waSsXLJso8YraWfjjCGz+QQi0RckvM8m2/cQSap5L45AEMrs3WfvuZuZ4atvw
VLEVfGl6hiid+wqj4coyb2a3gBJpggRJYmdxslQHqCUETo9dcs3JzFNWE4A2yCneSPj0+7KAUUSc
2fBWlrNYpoaInirPwTzgMltp6tLaOB0rrF457Jx9tPOwWg4kljuUy4HzVHrGXpijff77R6lf1FCY
+Hf6XVoU/UWIIrtmsjr4tamOsGcBdI/l0nC7mditTNyn5uRl9nkgyv3b7dNPS1tqB7cH3R52SgZ4
4XvduuOaEDy+6iKli2+StQP+4gUNJIY7Ip5IimYYix7btvPfcQ9gKXp53Jwrn2W0L/H7RE367ibJ
QXMX9TExFTYK8TwMsjPZOxlmxg+rhozTIZFZR+Eawj7JhVDcKFgY6vnY5OOJ7rDI8fCjUD7bwQDR
zhh5AwVLByyUzdAD7ZcceEPX7/MvUTbMmhtUI2Qz+GitvYIdjoQVwQyfNF407mzEPCE4iUomzwFO
RUMItknawBGAZ9uK7X88K0OrZjisEjEBmI9uxA/vSeo2RAkIjafL2tCTz09RGftr5KA5IsDPUXvj
sW3NM7nLn/jtqwuBPcC+sdlAPJP+pslRyfX2VB1IjP3Cfju8oh8BComZAqgaQaSTd3bcvmF9EOwe
2/x/xqlc16PPiMgR+oJEiAdwkG9oFr21F53TeCzITDmayUguBX0MAOWyXMc22Z2zZGs6mPpL09s9
JiLiQwz+3sGPYVTGbRSyOAXBu2vp4e7XgEHzPI+JYXRQc3RyxLM2gbjOfpVYvtPyux2TUyfrlvKZ
xVk627uMJ3NhJunhv6g7s93IkTRLv0qj7pkgjUYjCXT3he+7u1xLSLohpFi47zufvj9GBtCZWdNV
UxgMMAMkhAwppHC502n/cs53cNuzshXag28nHvMy7b0OHd5EhcuNHLkRwcbVih851yjTTabJV89H
3xj66cadiDoZLzZ5g3Y0V0i47uiFAVFUULu9kj7XE+ZuICAxKcxV1Yn3uu+p94EqlY3NvWcaGCHW
B5u0m7XusRSvcvcQmiYpW3Tau07FcqcXXEABhp8L8xgdAoBHBjShz3wqgqCgvVoCcsGCa33rGeqt
zIA3Zman3boyOhrFCFt8wNdsjWRKqIh6wq1bbsleAmklm/cTlD8rlM8gm30sL00AnT0KbXStUdnf
lW9ABCrwAlaVydM2+C00aziT8SBTNgS428lKWpIPGbHXDj/CQn2xiYeazfD21ujt5Nk12ud2zPyv
Bov+QPO+MvfvT0w73OcmMh4bGB5ZP0573ucpgPJo2bqNc/V7bY2+OiVK6naaUBWr6ItphsO1d4OP
pGuem9YK+V0SEpDRQZ/iEEOgB841q7P8qelcDHBVfNZollfoF96aCHNTQqDw1jDS4BRaME6YCtyn
RkxrJQEwlQ3rBpMqZD/aAomj1gyQtUMquwghMCOadKsbEjW/nd9k3SfPBXD80ugMYgZsNuNpfQGI
my9qGcORseEQ/USPcFGThtH6xyJx0x2Y4efMUrhp0jbaoOUqlp4r0oM+91YsZzCC0zYdzNpcuwDy
bgT/tuA+/JiViO2fcXsyjGcctk1x/Y9JTzmn+nQvu31kpbTiQx4ejOIREZZ3cAiCUpkujgiClsUc
kPLzgznuNBnVD647aYeYqOgog6Hk7fpCBOeEMnKbNe7jWHNERha/yu8ffCJO6rIHhMKOnaAwAVYZ
JB3hPPQ8wUVLAkz5CLxIebWKU9Kbm4Z4R0LFTEbqnM84VfwTReAXfiudnpqHRlI3GKrxiVUaHYqD
nB95LTrD8SHIq+FM+h2W7qG2dmIu4WwgV+uG63mP5hw5PhU153hChqpBdEVQYPYTGOfI6TRoCiqm
rqPQeX/5Vo2ej9sYqap8Veo2zDQTs77fbieU5lfFsoU707qLgy/tmAY3HEvBrS151XLLOGBFPUP1
1Z8Q0kYPVhujoUDqDNMRh/tcAES1JWcPz8c4uAjZUh4N8XeSNcaUrQi1tbY+/dZZ67otheXWIV3m
rURon7n+wQpDwOFhs2cJTymVVVTuZhaveDv51KHkYxs/BpmPMGvoHZOJxV5e02a39GSrLmAq4Daz
pCws2r2PEfOWVAyy9JKIYTtQcPVTdYoZIq29IRPbLmILlcP0+FIhZuC5NeTNKLT3VsBZGBzCc8bS
th+9PqfdtBxUU945gJ1MxeE3Vx2pDc74nIUOfveTH3cgMPDqRk3an7vIz/mXWjjbJOTJvrpUUA8X
fhgN5yIHchHROzFqZbvEqX3xSTlAlqGwuEdvXpwEKIo7MCsy2uvoxPF9deYcHDyC7iWciGPlwBuw
OmoOtEX0NdifUJojge2xZAwj2tthNxkIzB2/w1aEhX3FEUl+wzz/1wvtM4eOx/PST5uqEmrt1Zi4
Yq2ODjCzqjWmg3jfttjhSz3G3WNap3HUvjAPScDEpm8GovynSKD8gdbIVkKPayRVdbKHTdGRAswa
ZBLNqbVTCorIBbIqfAiIAhEVrjMcN2GYbGwQVUshOYWcDEWX37eXFJAVsPusW+e+U6wFfUcdJXCP
+27r+qypcZZfrAivs4O3QwTNyZnaM2/PYBODr10MaoheGyPdJrq90wjR2PWBfB2SAUqNka+7THt3
3O6FOaBaNFRl/qC/lKX7nvnGssvNp2pulQyUnxtV1sa52U6G374UKvqUyjziIsiu1lBqG+b/ZwNa
8FIzZLZrWjB3RmoM+D4pd8xuBNNW9tYpHeTetVk9hDE7Qxw310I4+RXa5lMJrvqS02rmHpMqEp2B
/WBHXRSmgS9IDJ/KMIq7nD8oLXRWlRSH3KfyzZAAH836hy9BWQAu729lo3lLSsirR1bUPHwgmFv6
aHNk5B+0WCzklF8rnoMzbhlGcNIVS68n97zpj87U+5gH+37hFpF/i2LexLJXODk6H/7HFJRXpxES
NaKRbjQ3QmxlpfHG9SzUTp5ePUWDi/TFcdpTkK9SCR82njpFs0raM/cNBo+0QjurDEHD+uFDqEXR
HcgXtSbMri8ZrP4ESvBbXgLTaz1zpVQL4pU5qUfyty3ybWXr7Bagu9vK35pm/8hy6klHWBuN6ZPj
K0Dt8BeU/Vphj0aGnN5zT6ynpgem0WEl8Fj29mX0WnL9LCwqSMtFJ+V56bnGdgc3ruSG02ITpWTL
A+MZVRT0GUxVYnIuhkcTVFcoowkzinV93BsNLTfGuVXXgWnwhq4DAkdKQeUyeWucKEDUFPqn2+SH
4Q112yu8a4buzMRsg5CjdmL2wTuoQANITdQKuUVcWiyDzPwaa50gqaPC7c0CIU5BCtjtCzrdEmd+
84M65lRG0ORE4FM7FZuGpYGXTkCQQImvA9v7Vszpjyr/aN00uaTcZGSSkJfWN0QbmgCIUsetcRxS
sjgVebFp/GL65tnTh22fZM8kWV4M3bm5MyFUs4cK1SMrJ7N5NAvzxU0N4joEsVwioYQIovEtwRUg
cuB3SnhvRYc1Mqrt51Bz+yU4P5LsYRHRmh7Tgv21EbwKVJxEIHRck4xf5siMmfJqWACliVSpV4VZ
fNc1/BM2dNFFqxkXkfR3b6BKQjFJJkX9xJefiT0ysPCyrIGUNLwEc1J7lanybsZ5iUmO9i9Dvbym
ZygfcOasIoek0zwfvo2cfWc36OozWdVs4caIlLhKf63z5DOqqKO9TvrEv4lsbc/znwBgwVZ1kkS/
ekR47fIuLiu9vXJx1DOM/Sz9vAMEoV8Y6x6mwbRufuc9KrYhRKuG7hKbULsre01b5x2eL6NJvXXq
1cmKJjBZq8iArwa/1RHum8uK4jbaTn+Qon5vVPNcwcRGu6E9+ubIiYocYTMhQ8eR1tQHIADZfVDq
TvC5dylAA6+5KT8meWkuIQL7DFR02hJbv9GccSi1gOTNmhWTIcd1FTTObTSrYo9ZyF/kkaDY8CO+
M84Rk2MRz4rv4VQ064GUzRY8nEFoXmqYryyr3shEmqWUy9z5cAkcaQcLymZ0pvfFqZzfa2xJoc62
15afJTOOgax3R48GtI6dWFu+v4E+7B8ahxkl2dAsg3m+TXUaihQLuuZkh8g0bw4L40uo4/lK7Qj1
ueuvwILnR6LG260T6J8tdvejAZt7qdoY7YWOQ8ODrMmcKN62FsuqGkMMWXfEoGUtakSArxMSVFes
a8BCmzRIndWgWatAFNXKiPxXj/KGiUwHxMDCv2sY1avuI7JUpJAvA7cadgbWhYHBcUg4jB8QmtNO
KDPn8BLlalcNlV9VoPExRjbyBpNAkrACIFpd/JFUnOsJwpawcKwz66hNnBscuZ7v380mOVcgsjhD
mKh3Tb9tWvQcdsUsZoS7xlBJCS19pE4q9PRzEr65gdt7q5mXQGWMaAkKhkFNi87yCmBpQpCR322Q
sd04CjgvBkbzttN2XYAFK2r47kz/7ow6BA5NYF5zy6PT1dCvUrkjFdUEUNK3O3arGFIJZj8Jw46O
jmV4mxwkXJARjOVaYBDVnNCmyMtjP6fR5gXfw9HIngJT/0Tt0+JYYuMal3WwaRSnrbCS+kUz+pLb
l6V2JXaXJZZW9wTcbi0sSGUlyIW17ES3lxLkFTaV+GhTlNHoQDucy1z4R/6mrdu1xozwacpeJaEN
YlZKzkneF3P+AAqJmQOsSOVHHaZcTVt4LkNDfyrsbaOrAUOJ3t9aAcIplOaBTIuDyX1u4zL1WvFI
jwJs+vcime78I4wBekQUrcyTO7X6JYwuOWOJKfLfhnnonkS2CbSQMDTpRwtnKIdvFhKFRobHNhqs
Pbgqlu3gIiLPRHPhOjnQ/LhhjdfpFxRdD6qEEaC00iW7cDjCVqoOERPuWsFcclyOInb32ERacGOs
e3SjfYlQYixKr71b6XTS8AWsdeU8axOUQ9ZIoHqBmiKOMdkggPHQoAb6VYyXtGo/QxyIFaSkpS2w
ezuDfu+N5KWG5Byr5gciRmzPEWix8tsUUkf7Ns3+SCsSynafZLNfFK40VHYSVRU3/Bz+GrAt8Z04
ZIJ0586M4PjCDvZtR8XQGGOwqM2CQ6jyv1Quidb0LwshZxFXm4CLM6Z6lUVEcBRZ0+/pMyGTDO0Z
HQfhEonFLx4xTurcylnqlImrbDLNCwgHNX1hyAxvqZ49jlb8tTgTi3Euu+6bTVq8Xul3rLNfeY0P
0kOaBhxArkL/xqEQLcK+ixex1ZQbk2xjlnsofcinzjxx0nRQgjqdWiJRQUyxx/VOaIafMwHPUISo
wELmyNiywP0fNu6brcNMQS842errEIwnD1QnZXBcIPWHlJMXTK4i204vuV0eUtuouKmt7KF9JG+F
TjTx75qe9nufzSTXMWtkG9V44xXTTrPHozkQxVzNypi2jo+csdqld62vwqm0rdsfNMdur1W0TkYv
xXIE2CfXrbMrtiry8p07YQ6f6so/lVp+1cPaPhQMAXATti8eK3RwtsG2F7wMDO3PWAbGKDobyKgG
HxtF4agA2lO8RJ3XLAZDbYNMIWwIcbWPsXllp3rwsuSU5VRqlLycS3q/yUPvCJfrwwmQf+fQyGLl
nHrQ5iaX7IS5+6jUFO1EVFPJoBx8ShR4wOwV8vOjWevDNdKoGFyU+1L0kP2aKXm3c8argdu+2hMc
Ya6r1zFoUfTRzy6Hmu1ma7uHymLUEBDCucCAOnvMidPRyJ5N4yq8e0K94SyMTpJXnw64O1IhH3LV
70IzRRjgl0820vVFYHVckv6WbCj02QzM6p1LdlkwsEnTBryekldpwmzICbYOHP59TeIL6xwwJA49
heW4Jx72xc/yHy7KN/Ab3XLQA8b/FD14P8Ovur11zPTcSzY8JI6t9cQmun6GK2QvBISzJc1ZGAdO
tx08+KUTWldKIaLeq8Qad+CWPOacJGNkogseEOLOwZb+g26LjiQxC5VZGIKkjC13g+IRIrMEyta2
3bC0JY6YMeANGVjRZ2EmMW0sCYClnxCK63vyPpUfk4XSzMjD5Ygk8zNunzDm+vvQyZ7QfXBBex+G
b8Bqagm+7Zz8PQxYOVClIEg+ZIEFyU5kd8xqwarRsuqZ8T0RJfVTFKv2U5TWaRBgSwBBGhwLYbYK
G62/9bOV19IhKigfEzAsGEZE+1aar2OZuXtOOQK3OkzrnkuPC6g0X7AfsBb0N/EqiMNXLRXcqtqB
bdeEqU3CDxUcFU4kbnr/w5w8PGjN1o5ltnSiegL1FHxkZHC6nXo3Spek0TAjYyEHKAw6apsocxNk
wLrNBFGpNIBnTljbys5hth1G63TQ0MiVuJFdXTwDcY3YuTLtaeMc9LoQBLyBDdEDZ5uGCO9aQXAN
wTcZ1kRsBeJK1kwAoa+GjniqGVJz9TL7TPMnpnGPs+eUDSf3JdaX2CRsSMhD533L0pWJm3lLrfCD
uIVgrTNCdiSyPNIaYcyR6qofm6qTDPJj0KFF+BF0yK5LExtQVqLKwBkBXTZzl0ZAmHvn8LLm2XNa
+t4WI4fOAG9OiHh22No2M2w/arrveVE9TS5ibIOVcEfl5NK2HrlYxkXt7BDADgtXVBunql5cozn5
g1uu0GSuehrKeEhnVASuFlpmE/7oWY/qYMUrF29Dy/iScmPIR++t+aF55ltFdvXCsZDfBrl6APXZ
0r9sslB7F+RJMoYA3kCM3FYUNEhYLX4ucJ9Hly7V+ZpKHSN+oi9HPNKkIoSX7qI1PJE+62x8YwUI
iMnjpI5eems84OnbmQ1eNVVnM8UyjhZm2O61pnvWw1ZuQDN++KELco/JXJPXbygHzdUcbE7oB5uw
bvkHi8EtT0ZOh3/L2vSWh1lT/8ffDCwIPJD50/tv//E3WypXuaZr2crVCThValb1/0G1z6C3THmd
Jvawdb0eRSBWyWA7OLvQW7BkAWQNmaBy2Uzq2paE64QhQ/7FQ8SlGsjf/+Th2H/3cGzdZGviuI6y
hWHOD/cPD0fA/548Ox62OQzvRYR2p+/JUSmnDoA/Y/m1LOPvLL44LAxY7rhyChLItlqtvtuZ5q5A
+/HSDc+q8rgkhbH6J48Pv8Rfni57tjbgJcVt4XIW/PnxFZbFGD2tp+2QQXGLbWRAJPVmO8eW3aKv
Krh4TPsWYIlvDdsHPMr162h/igjgktPNXLXAgqRZ9UgGuCJ/Prp/yVpzDr+Sb5T/aP59/raveTFW
IULI//z3P/3pKU/57x/+lf/xB/3p59b/+fOHoIxZfTQff/rDOmvCZnxov1fj/XvdJr8/hl9/83/3
i//2/edP+WfeGmUaxh9eyfmx/PrOy0f6/T/+dmu/tV+D7yzq/+Sv+f3bfvlrxG/CldbspLGEbcrZ
RfO7v8a2frOkCUXBUoYlfv/KL3+NoX6zpTBdF9+7wpojMeXUedsEvNP03xyBPc01ue/aluka/4q/
5u/MNWSEQBLVbZNrjv/9y/vCKtxRJ8kAurBjvRESRdIBNwXfb+1l0nfcHsp2IDHTPhVMc/7wTP0v
bhF/d8n/5Z+Wf77kRWTYcYzAbu1KeMd+wL0NQuquiL3PHvX6P7kDmPOP++MNyRa6bZiOY1o6VTzm
wT//c5EHNAKvBhtrLWUPVoD7MXzzajKmCNm6VEANFqgj481YF/TIEP91wQ3axOBMMA0NcAWRvdYI
Aip0a9Wp9hUSw1uovZbBFe/GSziFZ6fdjI19ZpoL2pTjnLBz4gdeKOpO5qTdyr45UHDuwpytHfvZ
9T9+Qin8/u53dF3DcSxbckFx1f3lpiuqtLZVV8p1Oq7hMLrbGKfvQqPRusnW0gCnsGn1J/+5NFrS
mRqIwn2Ba7rG1mAExatqrGrfaxcz0bStl6P1kZ51FQNZcmHffnLMLQtENkHwzoQX5PlhHAhicET0
CZX9FJhyy2j0U5nEUGWR99SUTcR6ed/7Fej9FGdM5MCP9sk/t3SHyJYg6/aEjIygkMo9n0Z9y4Jx
NeSYp2MneYL5qpgcu8tB+5FryWqkbtGQw4vRIos9XHv4pQaHrEAr2iXmSKAuZHCo6HEfrImXhJvM
aIrVnJPLg4enBXeV0W4ku2ROnW3ui6tV72T5rTZOgiHwgsX9e9cHFvpf4K8gCilbQLa5FB0NGLcD
s4d6bxTxnrGUvsUagTtU4Wip5xmsw7M0ZOaLrAxzm2rOvndKcVWx/lDL7iViNpi4VnAHw4V0Ija+
CRK9LiRUk/8aQ+Tt+vhxQtoh541+XSb7NqWMz9HwaH6VvPMUKsqAYp9Az14GrKja6juGhnwVN+jL
xgphGVM+VECWsbflM4p3f1PZg79MsRxbGpF8naN6tmu4ERzimfHAGQPbTJjOurvyQRhvOMXbhROo
ctWTdAttMe6Pupxxda538iE/XWcxj070edG5yYFGMtpnSr2Th+qutdGPGUSL9Fw08qGtMEnV1djS
mV3YCHn7zjiSjjItU7fM1z2SdCQJYsSzMGImrmvUV7jtwOhxJXZxsXVEccrAjVOHsxnueM7YDpNj
nDrQRGu4QYRLfXMG1odpZPho9TRCKK3XMm9yek6jWxykMh6QBF1rQWWZ9fT1wSEPvC0Ask3oBAd0
D7vET1dNj5o8BnBZk77qmRMBR89GjW+wiLxw16fQAjiZyzPJoUis8ic74Vr/x+9caf3ljetgipWz
x4X3rqBAmb/+h/LE9XOjxBZgrKOYbivzG+ZfCaLQn//7+wdNlhuM2e+2PrU4BWneZjpU5vgFiPL5
3hRr1t4c3sNQMGUfcDyrTA6spWj3fRk7YH01aJROSex83h55wpjR2ubzQKk9EQ56hNCAItVMsiNX
5keQNdY5QSpURC+heDNqq9nUFljDQDnfcsjWxy622Ibb6G/qcgak9UQcB+jIl35m1xuGNtefT9K/
VIX8n9QXfypUtt/z+QSv/1qq/D9ZhLg6x/L/bPC9kTP28fnnAuTnt/xegNjqNxdpL8cBxcxcZ3Ay
/ipAzN84LEzXYbdHxa67fOVXAWJi8DWELR2by1oZtsFR8qsAES5lC5Uq30l5j2dY/CsFiG389dqn
AFI8LNwr0uI/+ZeD2ff9WIV4RbcQWEkaSXUHFq1jeje/8vp95oxqHVpZcMtwbhxIWmuPNtQ+2E8x
3Cg6YXCcgAOeqmBgkIs50zt0XhmtYjtJiEbiLZzS3e4cbBFbuGakFRu6hQ690m4KR+TSRRb/2SR1
vw1Y9yNONckXS0ju3vIWjA440fJboIXDxSslsQ8wUOrPIAzNHYpEZzNVmSDcmlRKxj/ue6Gk/4Km
MNg6cRuwpXd0d2e2khwXwy6uk0z176NbE2ri23Ap4dWmZAYNQUhFj9g+An4K+6SMnvoUtUoeWDMk
s54PAeRL8pCA2z9rscqOOavle9jmJhN4eECLfEqC/ZgE+bOIDXnRoHutNIG2E9Z2DrgEhVw1y0jQ
9HY15BzCrc+pZaAB4GFOCxgdr5qwIXggP1jDFBvZPJXWnhkGqjr0vvGWCEPyR2tQNX0FB5FbFjLG
gdGAV5soa7nXX0hZMlzus771KDF/nWG12atkRjzUrSpfVTh6DJfG4quavB82FsOPPmjfPSdPK0hB
TALKInXgJztRfMOw7L6i2yqAkPfujiiU8QycNvnmiBQtOJfBS231EGRaN74SQ6rdsqkgFQVbuvW1
QCfMQToLWbHg6pcmtoZtHSNlbj3pn93RJeS01BlkRxVHWpBVECSFAqnjGvWpquHKQx5CUxi1TLRy
wiEXpH8ABtFmUvhIqsfNV3l8ATDBGr6U5fSlNxNCJ2VeftFafTxPTZlsQwYfqGAN+1g2DWpDIpNx
Kef8VQJwcKkWDfm6YGZI2StF6W6IhxIUA2a+93WMi4ls2Dq3oueso3OuOeOfXDaqG/TtyYcKoF+o
OiQPjMUQgFCmso9TRthmW5YAmSU0o0Jz4H3HlMY7vdf4YW6T3MFMTVejkOaqJALgEOjqVubz0Yj8
2sKCtCpwgJIeI+yngkXx1kpyd6uMSrHtjsoDGtbqIw4HYslYyzgPWjkE712QEgVWcXhHXaZukxdj
JNMqya+UeseCKG0u0SA2Af2hRSxAjC7SBCM26oXo4GlpvTFFyYqLa2ynGnzjGoL6gtgu6d4jak1S
n6XYiMxIV/mYGUc94ohMg3jaeVODJARjcHYugIMvGCS4G+xEDmZ/NJEmvzskSZxnsgb4je1x2nAV
kRIN2hfIXscGbeH2NnYrU5nWmtmp2E4OqWPMItVrJnv3XDtTsm1VHD8gXSDhrtVIyzMgCY2Fhce2
4slPSdnY9nZFolGqWveAhpBwO1joqJ/SIHxMpS02jUsyNjctA9d87n0xCctcxaPJ/sbtu4NeYpTK
yDtmkyPZadUibDYi7JEpKUJZF/CfkBXqE09GT2VYLPU08PDbjQmUZAXeCqGcE3x4hLHtbLclx6zs
fOeaSNIiCXsrDrFK8j1YRfPaEzrVIyUIyUXoyC5bTEhuXiv8V+sykDF0qawFyASPEKQbAjuRzfKH
hvgWQG7hlnGJ+lFNRk3EY29fuqTprp1ZekzmsggtQJMVEN0GCz3h1GTXqWdpTDnqnObmZBvzdjoA
EWVWmcXi0TLgFw649dA7Td33qc/hGnc94qPapLcQXa8+kshE6EQ8S3gf66AljaeZk3tsnIYt+sFm
SeqddW+auj53LPLIeIk+dGM4dBlb6ZG05JOVwAQKhjo4VZrOchFO4D4fKFjF6IYvcVHJt07qDrlo
sRHuxrL1rKXRdazd6VGK12GyEelTgO5olasbdvbmO9kW+IBq2ncW37V7DydSwaA0Thc0gM1WWANi
GGe0vwC5hP3Cit6ab6SEIWX0hyewpmT/kKMRL2ytCeMHE/46oMzvGcxOanbHf9akU1/LISZYjXCn
o9VUTrbt+rBRqxBOFPctbcwfsZ45SJby9jHFgUtqqxrKeePSTU86KNaAFWYGpXcCwmgtyww1c5+E
5QMC/5yUSo81bZdoxCWKEUhDq6JVSfboNmd6twbmXK513nWrCTHDqu2riNDnJjtZc/Kkp6r4W9AW
qXnyMh/3NFV3dqy4EnY2ZmqSQqB2gD4anGFRxCPdX1jKjlRUJqdjHYNtSnADJC6fq73B37VJTKBX
CRGbtVWv7E+3LsQpsHV4fxycforgI08ZVUc6C0BDX1vZgBd16K1LgdF6Q46rs4lNkV87ZH4bXQsx
bftj7b8bRkQ34gayvRQyQGYWtMYLsZECFY7wP007ck4EirS8mzpNrplrZnvGgBdTBgQUxuFRG2pt
FXa9uSunWn/oK2d8dM2g30rDBubsBIQfya48th1BaGXSnlVU54e4QQBOZJH3SmI6niGoH8sxG+sj
F6O3cwNlX9KBpTFJvs2ziw/vhReiPMTCy4/Cbr+BDSUFmJp7Iyc9OJpBo91d8NHbpEKew1IgIFRp
CIBLWiSacv+aV7ej49TvlbCa10SG8U0Bsiy5fkT5YcvIgW4yhmjPBw3wouuOBwoKj5gCx7z14wik
h9NqmiXm3h1pureHINmfSHFSR8/XipuW1PRJTdZ+KYKmPFmhU72hnS7Zp5oebhVVajDz4nIHxEjb
Bgme/t4HuaSSskHmB/L9QfcFEgWqCiSD/vhgsyg855Yd7scC2RaVk/l1mhN52RuLi9dYzjLTDe8c
k4r7qFv0cAsPbfE9txSgKx/xooAlzQWiZenHiI4K7S9GnHuqtzhvtSxmJQcocy0DvK054ucXDkb3
C9WG/4DxSt8CojB2KncRZtRFtG1xFqwwV+SfKcAxhCxxe9cae2LRn8LyaPuedGuL+7bBoDouCT3I
CYo64MstR3KjZYZiOAFeaUgiphBioW9mpRXJDZxFfZfAzn1qA0/utHroL7bZeUuF8IwXuLeeUt2y
16gr4LnqQVAsPMKqORFwnheD6W0MwFWfupYGBx/L+b2fFM7YWhQPAAX6Z9fymmdN9EBRWbm+2L7T
rt2epOVgRJ6XDXV3dPSw/0DZzzAmq0xJaFZYtY96FfV3qGzEQKJhRQ5Rlg3PVJQcEpO43EXDVO1k
9VX8AyCM3Ew9mdVdVLerSnXoJCulWxtXhC4nqq5fsW91h8j2qVhr0nhx7PvtuxviBsZ8M+yApYEl
DUPti2ZX3Wuje5iV0Jf4J0xn3Ocyi8w6s9SiZGlWgftaMLW/jw5ZvYsmaefgh6IOED364KPKxFPP
qd2F+yzWh5U0yEevWG+9FlZBPJVZ8RWvG+Wn9Or6gkhmOLsFspBigk2FEqCnUR2Hbdna5heI4Rqk
DA9ZMYHS5YUfYa0nD5AZMX86UX70VvECXZV/CIcW7UlJfZ5scnfqXyzPVREmixCTB8MC/GPIVSsO
sbAaLnbeOaeJpfCjCW7za+Vl8OW9gNgUnAnlgJWBwhDRhZU26b6SnbPQHDQNC5llaDKwKV1CEaBZ
H33sjn1QkICiDRP5TdSSSIJJolwamvs6GFP+HNNbsWjLVMsySlm4wnCPLkz0GOs44+hQKbpGG3rL
vcqwW6V+YOzZDJvXWu+zXVuYw3euQ5/4NCQxH32U2J9mM+GnbA336JVGjpbB6x96Ss4IonflrQqg
wLuOMKVHK8wI+VFEaVFOJcq4UpENawW7BPK2mcJMGo2VQbL2RyKt6tTXJKGOcRTfdTtiggBXIn5B
f+k/6aHl7yyNIJfB4IYkbY/bfy3JdkQHUB9zw1DnsDZbsp61eiWsAgB9DGM9dlRNKsrYxQfq9wpO
pXCuBexzQAR5rR5cv1IveUkQcxgFwcP/ldHE/0dDB5P2nh3a/zx0eAzjOEz/OHT49S2/th7Ob65w
5pae979Ujk3X//vQwXF+0w1dCR2cj/Hz879GDsL5zRB8As4Y4+t5V/LfIwf7N912BQWYLfXfNyU/
F08sfX4tGtgXMd/57z//cTdJx/eXcRt6L8WQHEKZsIWj/3U5SZeeFtx1xl0f6qfIMk617OOtFvYM
s8kJi4nLJkGIoomDYO3fkXITbByMF3iIWwR/l1hY16EjTxSdU7rSTURDYKQsRx0NO/M2BCWddESB
CwGbFytinKhn5JXgZgd0u8mDIye1COf1gqU5KZKbbqWZ6hN/FimfBcNzTybHUqfOkyN6idC1ii1c
83viyOcOJw9Jip+albGeTG0Fg9/bB5WM1nk9MEHtFGkyMGAMZpvnqQy+tlJm+xi4w8qiDF4BVe2I
BUEibWIpakTYElY8W93SfDvivL6ks5QkAtRgmQPZ2IzTMU3FCRZeK4zh7aSIKBxmobajPu2B5AjC
o1ANY5CYIMPEGSZ9M0FAELREYsJw+aFVCtSlzl5/ImNVGzHpeHV7T6zsWscrQ4fVCto10KxxbUOj
XWpTcZayQRvmMNEBV8Yo1ye5xNFuQvfddcXdnSm5Pivw7IVcUTwCZ7Hbr/QOZFGBRIobyJwiyHts
O+M2wB+NoVu/R9JGEuRbK5HR0U8WG58pz2x8CyWDBF9jxCxxnJBn9CbrjHtejDolUiTGt+OBUvqp
tTaBg92sKzX/jKhFLIeV4wbnyCLGbNJIDLEsnpBwJv/GfvnTdbxso/KU1o51tftonTGZMiKgbDgN
/ou9c1tuHMmy7K/UD6ANjjseh+BdEiVKlETpBSZmBHG/3/H1vZxZVZMRmRPZ3WbzMGbzEmVlkSFC
IOB+/Jy9127xLxgPBqaMVQY9zhPiqaoJuPMZ9kc6kcXo1S/d6I87hkc7vHEc1LSQeGG8hXFijBBN
SbUIVI2zh8bBSu8eE7RjWB6jI4oi6X0j97ZBm7wQeDG8KqjCZZjhr4f/XoVu71koBu6JqTH9rkEM
0Kno8adF1PvBBtvdtI26+b6f76FbFo9abGxKksW2cV9/FI2hg3WaCF+KweukJmFIev5hFgHwrhgh
neueGIrpzyN+9VIbV0HZ2niAXW62ad/bUoXkfGDOII8nbhEHlYaxdoNSPFqQGyqcClsmKKAlkKSi
FUS6CnEeAbPyBdom8CBLkhVAJ31JoF2HNjV6VhPrtQjCYBeCMRthX6UOGBIifhpFTAx2qqs5fQYh
SLAh6ZO1nSGKbMYFJsKV1aQEEDsuXgdz3KWDVu9s8mKAiYLjeR85j9zVVszZriaUKdSbpdpCxrEW
mU8cXRKj3C919H/ig3CS59AckkeSr1f8E+wCSdvxorGekIBJtoXePEQp2LmgxB2iayWaxSo89zws
bKPDFR37Olc/tVIx7rQ6eczM7D20mnE/miRyNjX0nkhQMDmTvgC4nO/swtpYJdiRWidhctbLZ44W
sk2VQKdqYs9MMlQ+yQCV3US2k7jmdpSLE0xUhLskxHX1A3IEVB4JQUwaMkg1LHWvpt7zKrV/7XIB
EiYtMT277TVykruhwS2gONgQ/FnEeN3jt2qKIjTkUqJUMvQkto8oEVdSpKxNoev0tWDAeV/6fmBG
tKrd+CPPoAgFQnyBDvtAn2QsK5G9B9Md051vceYEj5oMgAOzM+9beiZMDe/CkbQbkr23qP+Qchmv
Dm6jN7s0GWX0p34cVrHqzMfITd+ylpCJ2H3SSi25R1yDoo6xryjuAhWVmfBjOhVt+GLpVrAe7PiM
TXFdZejFzbwOHxLes15Do5pofbauiaIHZJ0vEyboS4Voq3oqJBCL9NXJNwBvYARQkp1qlqy7NFnD
UdljVlC/G1P1oNdkd3HEBbvedaSSZVs1y99w+xPWJIA7K/XFTJncOYO5QFGUbwtb2Ks5jR4JA8WV
2NGr5ey2m7G4A2fEFuI6qOXrOeLO6yUUuJ4Mz9H+XqRoZH3HLrEzPumdqDHkqgAtIhIy3QqUFGMf
ekckUDrqvFZJGlr0M1Hfc2sQXgWLA/xUQ5avsx5C0WxZKoIFbr69mTeA62Koz06bb4bcVu81JUdX
lLmgHnmBcossMjKIpmVaKYeQodsdMQ3qOtWaZT02XpaCgmwbuMyDgXZcjjuheIWeWlW8fS4LQpmR
Nhyp6Tbw6elV4bhS5vadDevFTyt0ixPmY9tQVhBKloM9EGhX2omHrmLvqskzMcP16ug4vvrUs3Rk
hv6mzi64lrR9HEj2NexoHQTjUxyPdy7BibtiqK4GsAG+GjYYOh8iiq8p3ohlo/V44UfEDowh7wwx
beLcTpaBjQSx9g1zpXEKXaQa2j0EXKgaCU0JunyvolfZqPN3i9nZosO3UpvTkzPx4ELL2QZ2Q2uk
nJ+NyCfrQs+9MfZtr0H8PnIIXKRU9UunejGDb4MSg5Hs2n3TMN8lTqJY/V+pU/+PEp3/V0doNuMw
Ks5f1bOb4gdE7r//xT9naAYiHsukZjVdaiC0bf8qZ239PyxTNzSSt/5Vmv5rhiZMSLgI4VzB8M2m
ffy/C1phyMmby4lYp0XkWo7z35mh/Vlsx5VRUhMGZlocx1U0S38cH5PX1OdmOrAEYgcxnOnkk0nS
ud1+RH+J7w2ihaEW68RVvhqgRbVPhlbOIc4eyvMfbtpfiHp+rqzlPVItLoWDusqt+kmBkgZ6Q58Z
JfFsNJRYRnDtZ+LRpwFpxa8/yTDlYPCPih4+y3TkuYDJJjRi9afBYSeninoYDqR40O2ebaJXTMPA
TT13NYVW6m7IltBBh2t7uCb6rk0NNAtBj2Ehfc+nKtzAnfjuw1s9jMWHQJ3ogU3JHi0XZkI04rYM
0HXoCNyX6hgVGzopWzE1tMIjGGmWYmn72x9lqpOs4IgtDRrrrtIgP7ZMLrvcqLxYbfAih7kDMje0
VnndPUSOZR40HEtJgmjTbwjUnd3yYPYDWXLxZOyQwNKfaCuyoIbvqjksiOUzDozWwkeh+/GuhcG5
jfPsJZvxxA1TUq7SADpRV5ECEMfdp2A0gGYDclWcxB0W1fY9d2aChyOrfZuCnTY01pL8P1I1WJCP
aCbhyQ9lxhCyK46pHjowTOliADYppuFY4gY8Il3VYIsp6coejTcsDsxaY+tbSaLxqzvd91ZNDspA
ZFcjdFI0ivCOU1NwN2bjgw2Gbcvt1bfsHzm8BEKCgzJiymVFZITntr4MBdMEu5YpX5qCjEYR9nMv
zRg25Zmr5/vJql6L1iW5p6iPU2Gx4UKfbBR2PQNFOl1l/qBCcPa9/MOCIIDLnv6eTpa4bScHXKpi
hVxJum/DkMFmDUKtdodN0GfkWbUlFpMhgywbk5GlDLHrIb00VrZGbLADmQiFTR092Fq9CemKLUXj
1gw9pl0Q5N2dEkD2q2a3fbYIj2kdymHQxMVTMrprt23EC8YshnUy+rgiG2+ncv7x6mRAfNwIQeAd
sR5wITYxsSE8ohyEAEJc7Mba2QEjcWrgiNcORFh1Rv9/n0/WyWa0QG8OnpFbKqcxz7dNGh1RUV+J
zqO6J2I2ptxaD9kxiXWfuD+x79X4y+0ATCEROyJU2zH4iDE7mQnOyfTeCGizTX1zNy9VjEuGjxcr
iMpzj9y+h9+zcFTtyG8PbsNn6s4Y8z6/m8auRlXur+JR/exrBM9FcMmN7F7o8dUHE4E+/K2w1EtF
WggKZPRbpBOoub0rg+KtobL0CcvcVbr9kAy6zoOUMoqt8HNZfFBeRRen/06M7m/kWRFvn6ikdGJk
8zlc59NC89U1COJXZSLR0iX8E3tyQo1T7ADu34dZ+eAWw8vY24dZS57MsPwW+eI9bVzsl9LeZIeX
uLQ4NSvuCg3MtCGw6thB1gVRfZiqHjU/3DSl/pJ36/YBtsUtE9R3S1JVtiYZYMlW1PHJzPSjM5m/
MZl4CCjI03p8U0VwtXvlpAodqEB8JfyZdL7mqUpgDceCU4Oh5vek60KqtOP32WFAGUIDtgzFoXjm
MxDuD8TFNRyCwq+uwO+aG/VZKzw7d68aET4DN1izggtgtPvO1Igg5O6agCkhUe1HxTmp4a607QeK
ZQBlPSNdCfPu/acp4REwA/JqCiBHTf6uKO8isXe9/hpXGnbhFG+R7Z/kEu668W/FN7QAxz5xn+x9
uPdVeqAtUT1tMb13jr2TW4pWIUPK2/7Qcw5XNStZoRA7m2p87X0H4k98TdyIRq+/iwJuog/RI5sI
GMCs92Z8FlN2nwf+yVGsg+Vz0yQLXMcFP5Kcsqg0flFlmortaEA5VUhSWdgWYcujOfWsZRbYBqgJ
u5nUNOSr6ANdw2KSW7TdE6ksGYvvwQZy8yimgnK1hk1qkYMVO4zmmR9V34VrPlqBfkya3RiPMAWd
t35U103tnvwYrZ8LWROHZRmA9KasviKXBH2X8ezUcsCVmubKEMqRUYmz0MsnLF7HPLO2vkFgsQN7
NyKZHcOdw4NoQ6zw7wQyFIbF4tg1IOUmmhZhc4bUTgeJFjg3q+34uXM6H5ox3Ms7onfB0xj0n7ml
kNOgZWcyJz08L5eJYAzMC8aRASt+kD75aIPsnkvf0/bwRNXt1bJ7p/UMZTCm4IwuDXzYcMG8+tqK
nEDVvj4n08sQCIYQXKev19k9CVFVZF3SpttlEOrdwfpUANF3Y3XxhXEqO5O8ERQaaBmSByfXnnob
gBnobjzMfFmjfLh4xxEYZMdadcE/8/vkdnbfS8N52aHbgf+SAM5lsMlxJC/e/n+1+19RrduuEML4
pWTsf+XfvrKv/B9f+bd/HKLfistX/Y9dk/J/mz+2dP/9k36vgl39P1wTO4dFianb4qYX+72p6yJy
VzkvY8BFvmiS3f5vJZmgQLZNjagIg+JLRdD+77YuIncKMvTtiMI0lf/ivyVl134SlDukV2DyUFG5
qS6VIT/thyqYcRuh3NFYU/Ypbyi4tuByLnnpJCvdJs4tciACVxEIPLsPLyWAEKN/RJq/17DFFP4b
HblTAr7SQ+qBaBrE6hQVOkiZI1YpZn9GotGii7bOpK3EHN6ZTRj+TU17y7L4Q0krfwVHd1VZxnPH
OCD8+CswD6S+TgJ+hQyfo6G4O7sNL4llHoOQsbnF4Iipf3SxmL9h1uoxZONG5I39dW0tfhLL//M6
DN3VuKM2Np4frwMNWekMBqC1msxRTspbfabVWAr8f0q8K2JiEqtSthYUEutMVh93QK0DgSE19CeX
7t2vr+enU8XtcgiHV4WBeF91fj5VNEZETDNwVi6H/iTnLYao5iGq/k6H68rjyc/330INiRyXtpem
//R7o0trWjYZxGNRchHVR2XSP0urgVxCw9q5bbd0NXOn9QT7SvGNk0FzQU0G8cOOviFe28uagbEy
2nj9SSTWFjp62uDzIyHjiPQfnOJk4qk8z/GaRtrBwmiYTOaZqYOn5CmhY7QkVgawlsi1PnsNQZs1
8SSo0FiMESRjgxVtRcOiLyKU6M6zmSOx1xPyK2oED8j1lQbLAdFPheqweXRnChcBqoCcEGo+XSPC
wQFEyLTy0sr2PJPb1WC2oPrs1zCOX6KyQmmTxLjNFTg6ZX+WjxvuumbRt+3RgoiWsTfXUNM0HCqL
PDo6vklRT2kY5JQtSJd02op8TZqdNeBT7pv5XevN0psHNvQ+4xFq0AIRMk2FrhVo/42tmSvYwprk
2mQCudpEN7mEEB+cYPfyI4lGUWYLqWJ8dRXy1NjYWSdRxP57fPUXJ9efD9E8ZCwDCDJVYWHWQYn9
4zNvz7maAiYpN1XtbgrUziXrRdtxVyuHmwx0nWhF6+BrGvc5ZHMLQSLAqEKNT53064uRpqCfHkTD
1Ok0oMDWbivqjxeTIeYrGziEGyKz1ikxHp6QEdZIot40XUFvMCjbyq0fdFLuFhy6m2VS6ju/U2WU
cAcC1SFeuOlUxYtJYepiBdkP5uKl0aa73uSLCBvle4puBeP3pQzKk2mzvugCRJwLrCFIx0tRDdNG
t/gO8zHGGuN+FqFGEU+Zyene3BU6BcCgGlLd83dfhv7nF5FOoWO7Di+8a9nqT30EtUMWNNmAJjhF
p5hJ6iPcDx7t1D7pFp3UQJbveu8++9mwn3mFFmg7VnZtbiorJWwbQ0jA8NuMXzLA2ChMVfAGfIvl
6OyYae2S/ZAE+y51seBKl7hc6Tu6nIV5b6NGoqbhdsjib0qeUZxeEHicZJ1ru/oBB98J4NZSWP7f
+ADETwYenkGqUp0QJOaSrmnIYKc/NnKYxilq3fNr0/7mdGBwJSiIE4iRNfBnjTM3xGKs9ArQR94z
xUi1v7mEP6/8XIFBs0uVwSum+9MKiMbCHzoX96zfM0rqYTssgAs1y18/33/xeFssNijP0ePqrOk/
/p55impMqVJ+zxYHi9RsTW+IosM03PTTOGzkceLXn6jJW/fj0k6lwfvBXBnNOmvTjx8JcivMAguj
LnpleZ6om2Whq2c8GYsAS7Mb83jlJAMN2mLiVY/VZ4vpAXwPXFT/PFxFXXSN5FIIsQZmawnxzO/Q
SB7kCyBQOv3dNiy3+5+u2ZHafcsQ+Pwoa368ZtxslRlpSbfh4gxIYMY6TyplBdylXZKue4dVB96K
EtdIgKNw7cf5Na/aza/vnJT6/3wV9E9dx9B1Kfz/2VWWarogcN0FrVEhzWvqqlkSLP/kQ6nez8z2
BhVthz4TB0fS5RNvK4s9C5G/mpoe8Yh2VUurgEWWvVU9DRGmKVAGLfXlby7T1LU/X6hluLaGL5Kr
BDD04+1CRm7bYdynm0JLr1WVXjEnL9QBqxtfPZDtBAiUX8y/kbWwsRq27iDnUVCHEQSZuyVGt1na
GY+BEgWXSkGLNfsbt2FTk+fSzEyvrgo721oXI1yGSsrqG5v9NmBmPCrECpCv4I8T2e8JkScKZ/2s
NZWVrrXnSdSQuEz0tgGdk+p2dEI6JmKo6XLfhhx+UiyFsHgG8F3TXedhPpkACxb47pxlXEVQdQHq
sPDZCdrSenvrXwwUsknMQDp1K2hwBsER8aOafhaJD5bRh1UuRqq0qT5XSnMYkuq5iGiSNCQRL3Q2
vIVmnghRvtJk5Ynn6b6VPWRXsq2VZ9eBHOM0Edp8ureww5yFoJMRpJaCuNolRblbZ5m5bMtnlFQk
D3Qy8NhNNaoCBl1z9qlpzdvYUsRoJa0lv40v2RxdzFg/IkscaaNQAtTmNTGjS6aGkEXUx4aHoxbP
g//m69zbPH72S+Z1pIMR1Ozm27BWiYzhH6fl799JAMsfSRRpjtG1pypsNNxnRaMvaAOSc0T+Vw8A
xpHrue9yZi/7giij9HK7AoNhaAA2oao/24H0EtKmDARmCwg+J1nx3TYdpU2gWurHsHS+wKGt3QZp
ums3Z0Vwzn2gkjmLnJZS7kCFEs+W6Q8Hv253SRTt38uRe20otYOqKiGzJmy25Ng7AFfK98rqyoWw
yTsXdU7ELseQwP7snvNRhthqzJ7kWZ3G90TcPDypCntAaIATNUnIRN/lCB5fXBX1LitpJo2+YIdE
QhWCWaRZU0fOAxB2xoU2LLDGP1F8XeQ3bKfxdTL0ncXwlBCUSl5imnE7M+5U0LbPtZZ890NwKo6a
r2SfryCPzICnCw2S2sEczU0fUeIRWH2ppm4phRZa822yrY0rKHJbHxYVsy/5FIFbuRrA3ulL8H1W
ybuOqM106MsGoO+8zqCkqtG88BxDcoa8IJ8G3eCBNAmu8cJAWc4NdOYkvCY2v6Uepfdk1dAVNSkF
yzcmucQSyHIgElx+TwwpDRgfCIyzrw6BX74r0pcQGnrvEViT0zai+UTX/Dob31273nLoIqYqvzCg
3dy+UWDhOCvfmk7mxbiPhRidpTvyM9Kcvjoy+C3geU5DqrOTiwzaDi4TXEvnUO9nCcPE3MU8NDXL
wOCKGlEC10/PEQFvvk6KS4lgDZyb/4hj+TDBYTcr/UVUbB8RrCYzNkKvZqIMrmBN0lcApJqvWZps
0ffw+8PAy1sidlG9lR56tyvd51Ntj5t5rNrFZAdXVMXH2/fdOiBRB5+us0rLiMH8UU3GZcS5lyi0
jalP6zFGZDf6wbVw+dl5SLktF7qp5MeGxT05vIdooM9I585L5+wSy85dln/5MxTMwIdt0THl8kxA
jwvIwy7wLvuotuaZFPj1HIcXO2/Pcc3KOlJB4S/2mA08sRQStuXbJwLXT4j/j41PF8rQivccOWKA
TGIB9fJaFt9mleYz57QDUzSZ+EpDle4egD02QLmmTAMv3sTpC54gDxEpCy9z8M3BBbEgYvZo2awd
vz+SU3pRcSsUNUxRFiHRsqaVBK3AgsfMQGno5+NaRi+btbM1VeQzoMvgyzonMNGgg6KQ/8QIn2/r
hlmb96Wbn6bZekMXeSJRZJXpGKlbygqzl3sI6leP1Qv1Zi6x6q+3lxqPKx0FhY8upGgEU/qLiMo3
AJk08FSWuKThiUm/ZVMSriyVX32Wuk8V2J4Y/MjDxM8cn1FH6rcAuNkK5E2oG8S6SjIv26B7ySES
1hblLIwodxFbPo385i1ItXYHP3w5hfp6xlQB6oq7PM9IwgesuZ1LjLQJo3WMxm8VWVhroDIhkb/L
QHPJ8y7dl8DhS0NPWXmN+igfkBapOelO9k4uxU0V8qS3H6n/akYZsVsK20VCexN+euD1UKXUmSdc
w7U9JW9jlaFTTq9MbLYoXz/ljtv7JwP3qF1Ox5lthiUjWd4efXTRR/JDINm96pb7JQDmy6ejw8wG
egRfXsxjyetZm78pOK3bkV/eASLH5hFACWzo0bZp63po4ePFqRYtp58x3ZqTRoIxfznNHJ9HUEki
Zt5m0ANmBYrUal6XHK6SPOk9U0p1FciZIc3OlTWXZ1Mr7m9FOhlWKIhgCsqrtJOrRinmWcTKVAwI
FilRM0vNiq8D8eM+FIbloBCOXKL0yzjwehGpuCs/FY/F+KCSrD4iPWB9JXcua79hd7ovn8NSPHWR
e3JkhWrb9ikP0XybykbTVNYFtXsYCvmVhxuTS9Yb/VgB1EE8e43z5izX6rzNMPa6pyQq1yNYNLkB
l7goihTEaWod8qDRPJR6rmfGj4PSPM9Rd0aNXxjZOeqsQxxZB1nF3M4jCbsLjuQ16CiePIwEv6+7
jXLofO11AlDsOTqrQQynGaRwuMg7mNTiWEWsvcZEDo3KnqWTVkSNbxX2YbT5QeB4j1PdHIAiLeUS
JvslciGyLY35B1uWrMvGlk5T6++SroR3TflV6dNViYeDfAwalTGKyGWlUlS0PRSJwmGvZaVGznx2
ov5767/e9m6Lm2jK3neTXlyVJ8fN7KNodq47fEPiPf2+9zoGHS4zdE7FZPK+EkWaEfzqyG7PpKUl
5p3uAcW+gpEq80jQ1HFkWKdR4Sk30vFeC+bOG3LjGMg47k62uJVyfkRz2Zf2OdNroNb2HcZFOiXR
Y/57QwaSl5i2tda++OhQzRneMlOB2+zAlNuvJc+miN21tnwVWXEFc3gWs3uC9xCNNAEiKwD57mdc
L8Ga7BhZfU71l8RSD5mf3UOQvfZB8Vl31EUiqGzqRSxOtqcnXDVlHcaYYdUPLEGq8WbnHDEbOd2A
LjqiBAcOxRfbptyhRNjemPl7U7DMKdEsVpFxupVdBaqcZaOQAOHoAVXydzw2HvN7hnfyX9/KwdvH
pRYPRJOn7MP6UdTYUEb8Eg2URl0OsZKJb85gudSS/GWcWWrCUmNbYyoIpqNelKt+5nEYCt722o34
PuQgL+vZFG/1oYxshGCKEYAJ7FK+Bpg9zxHWCSYt+T0SfZ6fGuB+9tutBAfryZ7Om0PSEQV5LIN5
kb5O/DxNHu2KRuVyEWdJKUOH/dEze1btCnDhSla1vD1xD0QqCFl5zG5saKR4/tTsiaWKQRLwxMSl
SJYK/4FX5MZHxzMiV+/EPCVOeA5DDhpmJtoV+orvsa7skpBrbeVr6WvBPYjcR2ygPHw4C8PAvOgh
LQJ1TC63uod3/CLcdFGVySt2vZNsyBFmf9DU7IDZc2nLAnhi/xwCal+rfHVGNF8kXy18y/rQ9Chb
VE19bnR9BXj1A8EVy7c4unQIPVQOkDDib/oYz4vWrT8FTUGQbcYxrtJkma9tbB4LSKa4yOTGDlaM
g0NwSJuXVo1gsQ4JAanTwTDtdVxVxK1pGvKpQTx0Rpss1dr40nXrG5rVzOsJp1gqE+5nvQxejUE+
gibAwFEPx2WppbBAZuWYdIPDN/F9xFXN6ag1MJ9+TyPDIXWYhToVLIQVG7al2ViOY5tprdOezXrK
2NHVaquQeFkgoA7dyrh3Y80G+RbcgS81veSICiGTUTrQXJsNPk5gJganpmiMrlbub7oGIJlZhasx
BJHXje4u6BxkN626ZibI4t6i/G38jtKom9vtjOk5QLHsEHNGH7uTCewvuqpYi4Znb9G1Tr0wMcCo
QBU2QyLeIxGSO2YICIQKbVHSZvjDllGs0iIDl/tB12fw+mm1HhLjA8EayguC2YnlYD0fR2h0mH07
eOGUCRW0fh6FF6w67aqsCMXLxfTONgqQJek3sifoRcz4szq8q7UhWqhp/wxwEGoo4E+51iUxOOaA
UneuD2XTnXSw/7ZJNJ8f6MmtqehB+r4k7BEVaECej3GmUALjmvi655icMsEfkTutRv1G1YcNVDFv
rolpKlnzXOB/nsr5I8ucHUQODDF2CQJPRIh/wQEs+3QCnE/RCqx/rSXBoVcQ+wRK32AMQ7s4pTHs
0VjG1OeInWf3Ca+ejjj4oXfVa9tnm0btoNiXCCBD/DQL0WGtGo353Gv1974YH1vi09KZINqWLjWn
imDF3WvWUJDx6JAVsACTsGtZaPF1Ym7pSgojSyVJVAN5XYUd8Ysys0lt3PXQ7UvEAKSkEdcZOriB
4bj7WJO4gpDAUzl4j0KTpG0rPfV6ciJRMxIkdwyacNcBVLsiVtEbEFVT5k+hzg+Ii72iBCQxjn7o
0Sr+rbSReQXTbxasgEUM/04RISBPhSsKRuWjyMg4pgDwuih+qIJxr7XMjFqHk69bIuhgZr6NYwMu
JD2HZVZ8lkLFQ5qUa3tSThnAUqw4a50td8i141RZx8QVx9KkQFanGUk6Xn8c48qA4gqB6EJDas0d
XguHsifHZaYNJAb5J5Y5UlpBY3bup3Y/AYp2ex1gaMjgu3u7VURy5Z7w5caZ9lha7BptDlTTDmKG
CChPlMcaBQw99/4t6ZQvoWjY/Mr0M27lTKClG97p7h0XXdc+MQ7pU1yr92VafQ/fOaidtDTF2hFd
1Bhte0CfN9Car9hmfI+Ou1+O4MpdtAJTSlqBzZk1xb+nqoR5znPC0xZdQQVQ0pLrN/us0iHFMK8u
7FBez6UZAftpFOVBMVV/idvgOozNV6OKZzN2PoeUSh7SBdHrBOiSmPAY8YQTS6ktWmPcZy2Za3lD
9omLoENTXOGR28sDVs0cshrtogj2fMM/idrYjUqmb11ZnToTS3IecD7AVls2/oMrp0+3b1ahhTFZ
rILssMukSNVlSibBolVjGpsJ7wdrf0eM620EH7gGHguWKAazC3ts21Wn0uCPwUUgb4dETBNFjlzC
5CCi5oP4VHbA+Hsy2zAHoV9yHlUaL7I/ZdfTkQVJEtqn24jIdMtm2XDSctXsLP8XaMTJ77SvD6lR
wch51Hu6KwIhjqdyONSWY2e8pz1HIQTX9EL872jI8K3159jhcsg7O9UcppO8P4YOvbSwV76HeQPH
Eh04ZaK8U70DYYkMogXPaMlvJWjpyyaEXnTvmrPpRHgJgUMW4SltxwN12LWnOQJJ8lDN6bpV2e3J
IdcIawDJr6yF4ArNzt3k6iwbaJySmCZcHEE1yNyW7PYBT1Bwh32Hk3DMP7xNZQXKqnqWG/45pqR2
kP0uAuWDI8i+pzfHuCoX1mmoeearBHdgjPWFrImhHXVPL/wVYVbUNElP/EsmWRunVrEQFO5bl+sr
GAv+Xuk4QzB5BHg83Hb/vEA3zhx608iazO8oNAJXf8ibz7DT9tlHAOOxRFcTCiXc5lUofr/gbDJ3
sWY9aemwrvV056TQkYae8lHWF63cBrDqrqXcy3RaqrAuuMAMmBmog3vAAGGV/HZN4Z6i2jp0UEgW
jS7LMCffYtsE4sPMHVM7n13MiyHlrzrlVaVhuuTZa7wW9LbUGtl2+tw2BDB3Wc8xPdF0r6kIIOwU
p1gLsihrbEKKSV07ZW21UEX54oerFPjDnqmI4oGtJOaMjApVzsaGKbxUY/3koGbfJQYB3Y5SPWty
cB0lzZk+4XmSShxz+hjtmoxCji62pR/UJOdgkr5OXbzMFc5kMCiTPfhowOUfps37Ycnuxo1f1vcl
pY29iif8zHFas534vITxwJIUEXiDpKao5Uu602brWxxripcGYuOrXbND5+jRHnhi1nkN2uZc17An
oXUyPfBpAwvynG8vQp4is2qe5bE2791vkzLsY0fXtyW9QVTodK05kgVYsBbUJq+jHMDJ4/BtVPoe
4dylizZGuzIa3rVhzDeydemmtKeMcGtQu9oMQZZBxmm1fQ7Kr4LL9m4jVnSgGxyk94UWnwzMFvFY
POhtdOfLFngg55+3JSicbaoslmxEQ1PB2ybK+ZTrRKM8mX36rsnvorPQA0SpOKl53iyrrmdhU3De
kPQbsAmNduiubYrlSMHOdqvZ+xyQfmmJ1xBlbJOk38kiucc4QUyICqvfZUcgGBkGeTTdTRGA0JQP
Yr/0GckHXtO78Z3r8Dd+vWtVZvZR6azqiNpo9qOIDI2RSEIq6SmuTo6q33dKp3kcwyl6UFJw6giv
c5xcqeaYdzn42YbuOMu2UkEHzAp1rBq2gnfmHOCzCaRs8lYcdfIIQgzkGo/uuIhkq8Gp+3fD2ODq
YjnlXAD0Y4dJ49bvUQAQV7U8PvGCV5ELsk2vH+3O3Fs45ohmtJ6dMdpYLi9ebBw0DV+x5N4k7L63
Flls3Rmj+SFH5X3H1alcnW/GD1o0opODA2ejnsMW7JmN/mDKUTykuoO85luj7KYm7QqIXzZHciSI
yaO1qfWqXMcjakrSgwNBg9INehp5CMoWCqj4KeKeoPwgLT4NXrpBWd/ukj2AmYDIsG0CjR4SUkPZ
6SW6j3N6o28boT3SjJFvnRRxtoxSwYIRH8VW5aNDJMLEb4f9bXdWNU4yTce3C6h+WQSk18qzjTuy
m4Tsg383KPrzmAjjJ/5PxC1IL3+eZ+k5tvPapdp29NNAzUeGIKgofVKfDWZWmNVXIi1OY1NzZJUz
G1jw1cL007t8MjVvGrVh06d3v76ovxiIIjfhshiq3FRUP46uMvYauAoKkb11sMR3XRkEV9BrxzeU
nSqjPCjZ8//gE3mNLRNj/p/VUk5baiZiLZkHFBmeUQqbzCP6Q4Z2rboE+zoAgamFo/3rj/0LlRYT
X2nyxR0scbdyiPcH1F2V14E+OhBSEmJQMohMEY+j2jongmQzz44ut3lPi/M+xoDP6Ti6ALe6isE5
IcDPF9A3mSdRTmSkMS6LnOg3WI79SJfdru9RhHPeyC3p4hQrPzsaf/NFib8Y0UsBHOYDJqKMyX+S
iQxFppAxW3abQA0+k6BLN2IcdjX9Omgg1PlKSeuvdFqPvOK7fvKb/a9v4F9MY5lfYwPTHZp9f/r8
TuvUEmdrsgGCRokR09OUUwij5WXHmsmISaOjYRrHm8j215/Ng/Hnd8dCIIV7W+OzVUs+x3/49vq4
t/sgnpKN3MXaWFsrRX6X6PTizLY937St8lXXRvtwW0VuIhETggLKOg5PAjN/lOFWdE+WYCNwySZ0
ScVQJ2sD4/qaBWJHBeG1Cv2e28wld/m68UdcoM17ss/S2aqykh08aqon3Kc498Y3hbSNGDsmncEv
A0Y4T5V8SpgbTPtxzq9DVO56uYoGIZ860WdKjfmtr7vjrb+ltcGrH1qbvAyvt1EHbp9vfJnvdqCT
F9YRo553O0ZAGDqk5FcK8pA3nUtsqIXab2oDVVNljFsM7N+6UH3MjBEhDSCdBVnZTFOT8piQUwar
XV0Dlro4Zs7wnsIGSyZ5j+WXb24muljLVperOtOZ/2TuTHbkZtIs+yqF3jPB2chFL8pnj3lWSBsi
BgVHI43GmU/fh57VKCkiS+pqoIEGcpHI/08pwp00+4Z7z0WhYB1VSCPRmNRPp82MIIIBvAwBbX2+
zouM8EHzRxe8+8uNTvQGygXjoWxocdyYYSFYOc5a1uirFKb0YLMpCQyP9Wr+llsIwf78bNhflSOe
xyMJCQPj/yL1/P3R6GzunqjMmz3pNFft0lww/7gYcHhPzu0y7DfLfkNoHr8fzSrSd0b4dXBtzCgY
yKMPvKul3A8X4WNn5++TtFFPl7DO0ws3HJ6lzzeqkr8pjfyvqlHPQ7SHh4sD2PLtz5LLYFQTML5m
L8PeXgQvfHBsWhZHQYbnfzWXPIrLD7tMONwW1ktGy2oQKB8ZPn0Lj85s621gamdzWqwbiWSmYlTP
zP0+BrbVqbNrhv6HlPQKhaYv0y5qAMaTxDh8/NNPwQr5dLgto9AZq8EyxbfD7AN7EyoVjD7JG0iz
nYJ2gcumZ93IZgPyDs0YRXqxKEB7l92DMZ+5dQDzadm+1Jl/lybuvZ8vdQCKrQF/vj2N38gifm7Y
2650crmIKMHkUuBBZjcZr2EiOtoC4psxPwAOtv/ymJwklL9rWhZ9MEwIhkzA2D+rdEOrH1vmV2of
R7SyuktNcOzomnjIh5RUp9iZX4U17hXRBRkAProBVs5tGV7FZGixAnRusRAASi1DYEcUWXHE4PZU
GFsUg6fBQFSr51KgxO+EpDq3Eq6zpc+zbeIyEySPWsoLuxDnkx9xclUaW4phHpctS+9ETwY4L5jP
/xeqWoFhzWaz5qE8IQTr0xvStwhsdI/C0F9WfZr333xya6MHwAZqm+eLseDMb6W3S3ecLNtjMgA5
CZV/TLX8+PMb+/UsB7bB8tOGh2+aMKN//3ESnyyj2I/rvUSUbw98lDaPndUy7P7zX3T6kz595wJl
cyjQ8ApbfL7zUeUA2yqg+s7qNmBAXVcIaIh14Tdb+uRx4BXT+GsZ7+5Mk9FK5gUfdd++CEHXDQSQ
3cnS3DoDAijNz0lQ1jpKvXXVsVwYFJMERpBZ3p4nLI74AJVaC4mW0VDmfbL4rElykAn5jks1sYxQ
ln0LS/+L02plcSMtMtcwppejYryNLOcjiLLxL5/Dv5BVozANkZh6ROjgTvwkrsMbE9hIx9VeCFoq
0uNf0awxH19MmhyQsll2wsscpmY2PjbZ/dIFnNwdXZ18TDK4+vMX87XqFAJHKyRXoCpfa8DC7hqh
LEuRlsEuppqciyquHzyb3XIpLruC8dQw/e0vdb9WUEI47OvR2jqWSSTD78+dU1ktTBZb7achgA8a
oahRKd/RaXwxzq8wuq8cwV7JnLQJSWKZLriPZThsC6Hvo068OXDat343AAjfzZx2Y5geel7erCSE
Uc1P0Jn2HWlBrX5ypVWuTyMxb57f5v7iNE9QMSoaKtwfwUzy0CI2sZW/x+//LWzG70xqiTsmP8VL
+r984v9CZcwv7y2aXuFzS36WsmtvRBY9cgYMHltnk9mK+bNFfLcy6VoRdrfthR9EHGodeSEm3TU7
T3PTm8VfdJ4nIefndxKtKc8jmkjcup/e/oJOZKhqu9qftmWnWsutmI+bBCH3YRsdeP55Z0i2a6rL
TEqwo6G7xWQIW43rJlm0OMsyLhi7xy4km6tt+TmXyWfo0L4uC7CTVMIp4e9dDV3LBK9gM8YwvQ7b
ceWBMSeLiv1TR5vX5oyfhh9ejNK5QKqEGeN1RPWTxD/7Fh1EPRnbkxw+RQAOghoShtc+i94/Gko8
nAa45aLTARJvF81129rB+nThtqAJVml7G3j3RcF8yjWTt6Lvv8kYp8dkyncTUPA6rynOdN+XTMTt
G5kxqBDZU25iJiRGnehQmG+MeljeksKsLG6WOK+d1YzBr0hcb81Kzo2GEEhQkq7S7mC21R526Pqf
J9uiLgmn+DGZLXRB+YfFzW7Eza0zPBhDSNwHWPts5L5xYAGsy+Xm4R/fEEp3M8+0Mn9+6d2vFQ/P
nuPilkHpi032UwejgjmFF8Rp7ATHZgTu1jGPc0Q/bjxmSdqhD5eLy9AjspNa57SxzVLX3nZTY69m
3a6549h8UqQw5eZNjPVdb/P9dciWtnwSvsA/Q2zyJuq6TdcXF4u8cc50fla2imD3gGk1mBQ6gRJP
rqkfG5MRBIvBVzekbs2GlIVtN9/nnbU+yQ7LkD94zsDNtPYO0LNHyy7ZWFRsbSKre/zzB/Qvjmls
5RSwWJJs0za9T/c0eGOHfFGmFdiVoaaMA7rgJoj3mYpwWISMUl37PNahXDezsG5HRGuu5e7cICKS
mFej7qPDn3+kxT/1SYNLCIjwHHwpeISsz4YcaIh5yDCv2psQYjf0pceImGIYLc7OHdAfeLFxOc7t
mZHUr0HBwjvyOhzHecZmkzBaKggMm179zZovRF17Kw20BgCNQxKbYZ+dVBKjwYq6QwgHsO2qiXPa
NUj/sY31RHrRj3gGA0z5gryVIaKZaRKMKuhTQj9nubGG6Lo+GVFjsH4VQ0Q0F36D1MMPDt0ALccv
xsvT6maYtb2l2cer2bOJq2Jkf4V5N3moG5Hi0u1pf5lFsYuUrG704tmesHStycQk67LiJbcCmoYh
OTZYwtd1rbeE2Xcr9PhnZR6D9PYmHso+3SF2elislEj1RmTsEuBNWOHNnSsYi+myPfRH6sNw4q0L
sKKAIbowe3zlw/yXsYHzr75AJi2BRbgPtZ+/dE+/Ns6ETpfZkFR7lbOo73nMF0kCfWKwcSzGbVkQ
F6uoEDXxssmwQpEuyCTLOKTmlMrVx/ui8f2WnUBA2N2chC4zm811QobaqhqT9WmfM9sUkoup1lzm
0lUtUXYW7bfiMZ6oI0vfVbs5yP9S038tI2DEU9ZyzJro1T8P1LqWmYckT3BvBC4OZCq65XCeqy0q
bc73ZWZdoD758yvxpd8UvBC0bAzxXCpqU3wqpsDURBMe+hwesWIzBRLHDxmGDLP7nkqYwotkRAbB
q8xS5gLU2ijQ0e0O9qZ2HMFrTcexzEnqSPyw8wnVkn0biOb59A9CNd4inNyr0bplN/u3M/jLFOn0
w4PPdzhfFn/Pckb/8jj4U5BlBtKyPQiCexH7sESBbDY8kRSzcojPna66cTr3umWU/+cP7vPxz1+9
HG/4ixyLXv1LBZIrr0H0lFOB0Fgttf9EMjJxYjyFTCD/2vWczqZfKw3BTcFxiicVW50FE/D33zXR
feXPOk0Wy0S0LTyXxtMYi/VU9QjqXC02I4D8WLLBVngLTHMwLxhk4dAZ621aQmmW0B13sUZnWh1J
9gae64H6jid70XLS3CXk+nLj1NbemQSrpybZJgt8FQnUW5OH/ab2WzbJNpsL22puE+LrcBKi9fBR
qlQiY3eWEbxpzP1DK+z94Fs/GvJGz61D6WQsgNslnLCTr+nclsDOsEXiVlylvfYXjcat7iDJcYF/
r9Rwg8TtuZuH5CCd54lxOOApflbT7eyViF11gJHA8yjbb63d9BuB/m9NT6jZnaMhiT20Qagsts3U
P47RsFNeXm8nD23B2LzF4nUy6+8m45xt78z0ygNizC6/nkJSgRUOuUA4ewJH2QjRcAFNXzidKFlx
dpz5UFVZ6TSXdjaBsQNDGNtpTh7brfTtCfFDdFGUQYBsoXslIPdbIrNnJlpohzg6Q/PZZN7IYLOY
qaa8i8EqGf3BRp+TbyS6HyVlPGKYvlwrAta2HPjt2rWZ3nrklSdtusMBrM5bsIBd6oOG7s1jqiKO
cqPco3IhBLUJn+dlnZgGkgQWMsxw3kwb4rjbOrlpe9okX9blDu74oXGF3s92lW3ZzqJVMWniqSBK
NKsJjsOSeCfy9/aQ6exV4I0Vn1Mjz8Px3lBRjLDgXrXuEtpgw5fbxdCvzgKmHUg7AFF1NTg6ozan
reMZR1vCYHKYHbH15+P7y4v4+U4QdkAfRPAFU1zch0CAfjsEwhinoVGE5CrPpDHPlQ2vehmKUJre
8mzRpTamC0huwsBi4lyaEpJLW2J61k4QG7u+KN4xbdw68+RufVaF/BYpPghwaoS3/bwLuGbO7Rpe
usius673VxWMttlACJ8WyRuQk2INhPGV8CV/RXnhc+VQvTmSQYlMUFYEwMDbwlpPrbNxSzLo5hyW
4Gga52HcTFuTHzqwSGDt+YBWbqjrbR3xR4VqcNdZ1V63if2Qtf6jlfaQ9Fv+Md3gxtxDkG2OBRV6
6JGFTle8NSvuYR9g5Z8/4c8jScyTHHCcrhgJuSTMTydP1CrLc+o82CV6JpR+Wpr7v1TTSx7cb5XZ
6e8QYgGXmgiZPlOI4JWhAfVjwGnNcCH5VVdVzwJuQk0AFULcOYH/07P1RoXGD4f8KGZzaL/+/Ht+
6Sr5IbgIQUlhlVzO9U/XSWwA8PcTLXZhTLByMlXovOJQ4ymeBzZW/kEiRPWM+iVwgmhj4y7aYxbY
VNqkom3zv/m17c8tPkLmpbm1F7YqrrHPxrWplkWfyUrsYKkYOyUf+Wvhg7fGLgTbXdHQZRl/dewF
ROxOPkNg4iRgIF/kY3DXWBV1Y0kaURSaiJ7EvJVLPiSA3y2D/nH35w/P/5c/LMsMmxEI3vJT7f3L
XZwbsxa2Nvydj890pQz5rZ/q5jAYxsamIQE2k2eIzUzKLNzWRMmC4ulKuH61GcJknrJr1Pq8urdj
qr2rKfKALxaJsXcGHzlcF93XE3SkPsoAypbTvSP8rZED6soKlKPaQooFq6Bu9dHqCQyNFrPvsMvA
0q0HMR9wwTgracTfuwXpiehCr1sStLqx22Pjqm87a0G3N0dJryqTpDjgwiZzFpjuGj3RyqpHdeAR
Pau8ab6x5/I6Vwy2OvbBZ7LwXSLLlkiHjCRYWZXXOi2tVVfRxf75Qw6+vIr0myRc+Y7jYL6kSvz9
rJtILXBrKjnmNXZ2KFvjGiaYt+o87CymivGog4UC7/1SRNi/T5+PIDW4pla5JDEtQGQEpFCE+qNJ
+LfHeo7gCamnKGGlVCwf1py6M5XC+Jjk/V1ewLrOTJZQSbARVWZs1Nhw/ssPV9EYjbP9IWfnRY9h
uTF6NIiVUgcb7OPaRivutOc5wJkt8gNzrSdqWMHSfp4X81bRX3hm9RbIxtvPl8xpWWe16TbIMUwY
3jLAVvF3zD/9qiDpeUWO77K2aO+66li3QIClsudN5Pu3qGSwcwXm1q30w9QVzcFRQJYatLFrs39r
0WVAnuLRG73woR4oncQcfZ8Acnsp1v1Ua4QImdrMLtSlBpajoAi/0K4xIfavvuWSaLTUxfgfpMZf
bi7vyyvDt4kt1WaWywLd+Tw8UmEYkXfYhruuLK6YopDubmhGJv1FGg/3UrqIOkvH3kT0WHnN05+C
MVjbLR9Pm8fmWvLsr0j4E3gtC35DrpVSLiKRkMkL4l+UxF7zTjYJ3211mVtVta3EOqys+Sjo++Z+
fDbncD7PY7Bro62uOYFJaHB4AsCdewQYnvdjPOx4JD+mQb4w4zJZMmM6K43eXXX+dYSzf9fa/Gh+
+ohm9dqoogire6EAtzsIRid+hz+/A1+L/mXmYgmX7TfH45eifxrTBHkHn1pfYHpESVmYAuvuNLYQ
kJm8B6G1skxyJSuH2JLobxs668scHno2xUrgLesukISfzd2sYKVtdi3HctzdhWF+dNLk2snS4ZC3
kpwcLYmci+IGCXhpreFGRdS30VuS2/rQifaFxIQGBc9Iqx8sDx0ZgytDHuqxBK+i5XctaObHvqYB
DIYIL1j/jV0NGRD+JSE+zc5Kydj0zwwFO03lqGdPB2PWPudZcjNO8oWNxLypER6hYaovdMZlFes0
Xy+7MDrAj9EfvF2LX3xt9y/gqLHFCbVFk8szZLOmzUb/aVQWVbEi2ZnkQqSWx87hPqauwjiPntku
RmxRjelv8xgKtlLcldnkaMJQbnIwcDfBspdujWgD2AMFJ9YKdkG4XIvhWQcxoAHwfblrQRvoAS0U
Um2rFE6DkfaXtltcWxlqH2H7t21QAjkOw6OaIAj6Gsm766Nwz9P+pWgTC2wYeQlDbp8vM01ACtmO
3E0fyaF93iy/OXt4fgF8zoy6AW9z4KxI83uzOe1435eb2/bw4tjCYkfsnKWoLnZaioyJ0Li3Bgdx
GeWuJFPjaGERnwdPbj2jnDZYAJYcARNfedeLbZyMuxBq5E7DHq7dlN1fZ2rQhR6Acu1SyBulQoLH
/9Z3ybwFP7gOi2gfh9HPpqcQrX3OOMwQl7BT0X7hH7jwNbOyOgLThogFX6sRO3viyIiTGHJuzsD+
217x8wyCR5tXitHywi5Yyo7f75fG94tcYk1egrsxfQk33sW3PMmM8QpKa7faCI926M9vdPCll3Yt
NhUUOI4XUO+c6rJfSoeMoGKfzZa3623CS6ehfcpDfm87TM6jdNyYSsC8FUiNZJrrXakbQsBcbhvc
okUJKjBbrAlGMF7KcQbnQGgmPhME5kZo3E7A289j8B0r0IAeRhBrcY/vdcUwLUvINegUYT7VhD98
CEARpXwfm7mrdpVV6F1cjilXEc7ZBLwAjrPyzTrUx4kCa5eZtMR+hLThdGw61XiDBKsj3txLVsPC
EEkycRlaGBNPJ/Y+MDPGflK/jFNirSGh3g+986wc+0PL4xQKZJnpOyPTDpGqd0HyUbCPcIgwphT7
ISmc7RCnglIJhm5ZBze4AXmwGe5sI0COOkb/HhYuAvECb7EqCb43yhsz1BbWqo5elsH/frCqQ58T
GS8dzkwzhUmPteWm9hibpcYo/1KvfCExUUxbLKhgqVvMXL3PA1d25lIbc0U0S+6Sc6UpVdhg7sqe
4snO4gdIjT/n2j/O0yx3AGLQlTbWmQuW7s+PmH2iFvw2PmG4BXWWySFsAwEs9vcnO8CCVNtx7O46
xMPbdAoRr4Sl2g55HgDhJkAqZ3qxNhYZYhb4K9UFvIhuuu2QdPXaOs/CqtnphqdjuYA2FhVnJfke
xVBm68vGGyM45fzX2uSbz9rom9lz+pgkpcPKVveBp4uNqiVfvHIvG9m9+GWc7ZhZcCTpZpUFALPx
ox9nL9Kghvi/6WHnx3wuZBS8TMsjU7tc6bbfXKQ2B6sOkh2I7GO2nKKZ37LksnEVRpJ4I3ilIqt3
CZcbLwb6y8BsmBQHZCsrZzvqo0kDESRvNpMZCi957xKw3JUUzjZmnq2B+Xo9ON1zhw7znMQ2MO5b
qxslxYN+IETB4ixiPREaD0K3dBi9WqucmnruEpv40gCsYMNGUg4+SxinujdkAT6sGBmU9efjyDJR
aOOeqBJUQNJH9u9arMzw8ys4QTMWur5ky9y/k7WiQD4U5nlJONc6jKALIGDFXQUyfnkxmWCj8V83
AQbAdAUJdLSPhRUHK53iOmUGvhajGnfpYvuVNs1QE2AanV1I5D33Qm0TVMS8jArJ0ETKEair0ey5
NvSJVG3ElMTrbr4hZG7axUZ9m6a5sTMdfQDJQra3purqpGGshBnvQADOG6WBD+ZsowQ8L+ToDubF
DE1yURk7kZ/LSQ67hOiAjaud517ei5zaqbEy1Ne84tRVDrdM0xwmzf+rj5z3mfUvjif2CCnorlXw
2m8LxRSs9j0UwO04b1CHQBFfmD2x6s/Ijjm2Or6lf7nmOAd56icHD2dP6Ed6YyXNra4FmQmx9NcR
aiqMBq9kvi0ZcPm+8Z15YwyGuabRu7CXiUUsgMZLiyRsNIfrfiSUWVhnfNkot5dP/nTc1BWxz1q3
9bo3ZpS9FTTGum8+3DDmq0ok8VHAd5mHpLx6g8vAvrS3aN0hKRaTux6n4oYAUw0QPPyAEfRk+uqy
JQZyE/fFvLHJp6YQynZmbU+7bMLeVpMxSkHOEY6Lo/P7YhP6HV1fLhacmHl9GoapkH6GD5u6mR5o
igciUBN+oNPR8t8K1P0/Q32j2Oc/n7Nyf6OB/5d/0P+HiboWsFyLxdMvJ/HmpX35t58nuuKSC/w/
/8e/6658eUtein+70S/vP5vkVy7if/4B/wFGFP9wGWCiaHBsD1Losv35DzCiRVguB3fofYm7Cf+x
FAwBmCckOICW2F/874Rd/x9wbCgpwCnyL7BY+e/QwWFHcUP8eoMgNWLNC0wMsl3Awflp4VtVGi9k
Agk2sJue2C88NoRdpdV03WCHfRyq1t2qhgwImPMVTybxXc+l5iArcSdvdVJY71agw4y1cNGHmPIt
v9jlrTcfDE4hc6WtgXFvFVgjBQCQBUXNEREdaJMMZa7KwEqOXke0w/UIUpDLJ5+HJ17Y/C7MTK2K
FS7YKr5QpIleznOX37Q10OthNomAMDPHaRm+hnrcWUri7Ety00uZVPYcVSXhepcQcgglQQ16VJJ2
uFLGu9ey/Bv1JFaz048HNBfhWTiRecmQYYZWjOOBYql9Gti0sNI3Z/uss+hNp9l0d1HPJY5ZB3Gx
OyNJH8J5OgS+NqoFuDiAF4JDA1UFg7cjLuPGjg9WvNQvFtleu6ax3SM47poNY2GgP1WzPhiJHXGC
Ns4NO+z0rK06EsQGTiZH54S7KpoKUbOm6rq+ObRG4V2kUqubQFv+Y2koZ9M7QU1+i8AwVNFYxebU
bgFyTjfBgEBKIhl8bBOYWluLSApcB4oY2SDEpcUc7ocT8wfqrvITEs5i+65ziwDWS4a/iPy1y9Ql
632yJrtDJzrGZzUXwUWTTf6NK1v/pheO8UI35j8lRVVeDZgjtymuhNsqqfWHQ67FlaedQJ3Vruu8
UNxWWA3LHinVOyckGD+XuBnMwiJ090DdsLvMCpO/KKxGSVBm0p3vxRSn/RWKT70dLJvoSNPs5Q/l
dZZ1NgIyR5koIBiTfqJGf42TMk/PRJzPe2OM55e6slJBamNNSJ43upO3pdOOiz1A0NDe+zIvbt05
xEuppGjPPPyS5qqBl3FHYvkwrHnAIjwPfcTJnBeSoiBInITbvJrGx0GS+rhTzCDz9ajnBX4RTfGV
RCR35nex5Mpk7X9bKj0/LxOwn3zMHYEZTcv6xanctaMIzwFuY0uKLtu7YfAW1UcCagLAWZ1VPrGj
yi+xTrikCfvdXZyF7I8ax3rwnSo76zp3viRZaIHakBC5FB5Ig2UwnVvzbKyDGp41msjCPPODoT/v
3amFNpPX3YVhsRNaitw9/quYsnAahkNb+NW5JYf66KEunPnhkZ7FXT3e9q4V7XrVcYOyLLWJ2vAy
bw/mbvyhnUknJDyhQcOvH8gXQxH/Xk7SDzEMqh6htVySR+WUFog5ZciATdqD1a/8Ns3uUixSL6qp
xwfLJVc3Y0TIEqG0KVyZMhBIQ/GPuTnBieyaBSsYzxEO9YpXSLgBU6832vWTYuunaeMe3LGdfpiB
Nq7I5UPYYJSR16+k2SZ3hpvVl24nhg3C3Ow9s1XHHrxtgm8UOMgVZpUE4QM77OTCJkiG/tnhT2bg
q9njtaikvtM7yns1okjBk+4lO9W7MtlklWZJpXJ+uVQitbfSoPxO6MxYIGeuJQqRsCFInFA6k+bY
HZLXKatsRoq0OD+IRvLeilw08/nQKmTf08jruUNfR2vI8jL4Lpym4yjQhugPKkElb7VWc/Aw8z6W
jcfuyy+D12q02vsAs0rBICxneQqhGQ5jneTZZRqavLt5mMQEEMZzNO06WZs2LBFCn9K+cbH2Kzlv
AG2E38e5MEBLuyVg0tSHJgO9rZUbp3D6yxrh2/c5cZzX2GCCuXMhjoRnJMCkIKloL3cYPeMjiBrA
SBDVinoL4KX117mKu2Nk9KSNC5kGb0RRWBm7h1EiPkn6O0tbyXWYB4R3tkaDMj5P5va80Vl4zZwj
vNOJXV65s0YUMWnVbkt0Kc6W3QST0LKQITlMQdtRo0dh9sKAc9g7ElYLKlHSg8kJ5NbiwIadBPED
8XNtOOTraKejdC9E0WMFRRpqrznSKASl2XVrN6Wg24AoWzD5Y0rQQA3BbGKGrMYDxbYsN2D3oocy
assf+VIkHlJWpjPK3cogJmJcysZ07iYJh89xvge+mr+r0UY9gCzqY4zNQG7IDS3QuLlZ/GSN7I4w
DNZZiSjK8IyLpuuMcA0TqubOJDd6XJOFnUaXMxQVZxN2Bq7RWAfDVRkm+jq3wM0B6onxuLsD4OG1
OcRkzdradK4IwnTDtTXi5Iz9QYX7ucN7gdh5qgTR6AWALtoGRqyDM7jn/VTqY1eb1ZVp5eNqCMUk
V652B9IzXcV9n9DUxauwNsYb6djJ3hpl8yScuH2PVUGzkkdjTOXfFT6xlLyEL0OM7b9jNyLW2I3q
Db8IC+XRG8T5jFcED1hWWCuf9K+UTbJC0u2oBCyO7HOkzzVv0LSOCQXaGCKoj9nctQ+uV2QWIJOR
wZJZOGW8d0BznDeMybdk9oz7YtmKxK5OnQNYc/4whhLxtm2nxXehl9OIFPPJ2XBIOueV0GW1QxQy
MBpHdt1ve8uoUlZg7nQoTYFJtQiB/qO9sFn3pmrAdFiEQMphObzNenbOmyDIzS0AxJlteOlXLTCY
JX18zD0gCIlrduvezRg8OqNy1Zk1MQVj+l1NP1RIEWF2mXwc67D+6eVDcDSNsPzmeXnyZLm19cJq
r3gE8mQdK8vFAsbCd+t2DVIdo+w+AktV5UYFZHVAgs39ZB10g3jteb7P4qRrzi0/cyvefOG9uRgZ
upUfKu9BIDQ4mxkIH8d2ABPdj+S7FwNTZ97W+roMK3yRMA6ym87qs3xVzWzLa+HoO4FGaoMuONDr
uGm6HW5t4Bx8s68zoZFELJulXBe5Oz5ItlB3Xp/oH7rwOek5ZnOuVtM7i8qw/mb7RrjpIe/sEXcB
L64CUV7DhxEoNvrMI7qit13oEEXxaJROiHfeFrD4B3Xg565TTnUnxMmMxxDdUprDnHP1htix/EID
v/mZNOS6rxQZE5pBlpdcTjqwH12tw4u49NK3Om9w6rEJuqZSqV7pODtWstNC1FrozQfXdcOLzo+n
s9ga4Qo4Q8mqiahzO2QZE1ZBibe0KsO/DA3Zd32px9nTCkqWcFk6ut6nehx1Q2fCvuuOVGtiYu5S
1Aczzkby2jyj24XFgCE7GSvsO4Y/jGe9KgN4GoPyLzoaEFrjLoqY8lrND9Kx9E0XOfOTlr3qV2Nh
2fsmXwJgwtQDCWZMoeZuKgRn6dApiCNR5Ihk7aWJ9Zx3Tk35nUClO0OIgojMsrt23kYtL8wK7y9I
vsqbPXxT6GCu4Iy109YKO3NfLRePRcrzJdTD6L5y8I/j4sobKFB1fTONFalmfeJnNwmLJIrTqEWw
00jjnRGDfeYlQ3ss6fgfGp5OdL5VxmnSJDLcZFmaXudp1xXrNI7hDxAecgPZhTVfOY76cWKv85Ps
dyTTfL/y3QhKtOuDk0XXI/3B98yOkhfJ2AQeZVFupasQOdYTIKdNI0D2bKuRpeDa8VW0gwE6QnTV
3bQKGqZk6Jd1j9k1dqdbjh7jW1gI94kcn/66btIEhbJN4EjMB3ZMw5ho6twL1KpUVXvvasNAgmjE
+uh3bCLE7PW7SdTt99620gcjaeynmTXUUz2TYL4eMLQADfGH/kGK1DoMcSJuRGJlj0OY15jwfVme
B2pMvmcBED4CaoAN+3yWOzvKQ/JzeN8eAqeKr6Kmsj0SG+hPITIt1WraFeNjeKphi1M9C6aP2tY9
1bnjqeYtMTHF2/pUD59KY7FUye2pYOa6I4POzXJyp22nmTY8XeMx7t1hWFmzoJogW68Xq4L5Mw5h
LpkrBN2OeagRFSMKzdy5owHw6PSEPUOUCwGfU2aUwbinOl7o2b2TIDgu4v4Kh5s935dJX9EM+J7T
4P/Fx3zdzuOQ7AeCPynQwlo9B7NS/aNOszq7QV6g8xuRYR8ttvXsoI4irBhSl9FN2T1VKPE7cR8j
8bTltR796XpUmPaVFcmXBB7AUTn52LxKkfTWdUxn0a8my3HQ4jflxorKmsujcpBpL+FBQ0lwK2ho
5oaoLVEQEbZYW0THdw1Yzsjt9k1ay7XhxRxl7L92MEPBerZ+zi7Mznz65VJPd35acjYOY2gvuYgZ
/AEeoJ+5FO6eLVpzl9M8b7N+zrc8aN2xz2briFWE7bhkLXzMO6E3bq6Dc0MqLMkFkYvYFyGWxrED
iaULLwO3AivZS/ZmMQ8xxVL+FthzvwdEl35DtFUSZm9mu7kNGw7tJr6ugmjYqiBgmk0QzUsSIcVT
1li/DIOHIU0X15UzQo8sMhgEnkycQ4WE/6KqY3/LHKREeyqcXTxF3W6oh1fdAJ4IHZTxzK7M+odO
4NbIvunfTU9PGwTg8rqNfLZBvZsydcyaYVtlct4xkW15PE3nGkhcdE4tGuwFlgOPCaYJgXCCqZJy
M30Az83euy6IPnQ/N8Om1VNdMYBWxXNvdOE5FCN5rJjBvTLgq3dpCzPL9mT5bdBuf24qZJ+9l/cf
UWIOHL5jz2U2lrdGmIGIGZAlpyYwUGzedYBX1QiXi6E8hjNaukiay3XZVBKeoq4IqC3jDfAYKhgm
GcYjfyGvBxPGKx/q3bapcZnhHvfe6tEm8KkL6rORlQuD7SHcthYuSPqg6KyfxbjIcNozO0iy977L
YAB7GTqAnBXEVTTZbIl7Mzi4ovK+q8IyH+sCjooyuGw5yuuBs1akZ3U0z5QVbn7RsSzfEWI6s5Uo
SpjMHjrYXyZhN/+cHP0aoGx9MfHhP3aRCrFIZgmJp+3Tts0kWQBFTgXC49QDl0s7/P/mNEItk4u1
YowNgJYjKZ+XWtc12vehEOYlgKd41SaGxcB1OaD4WOIfLGoQu58OqRTJx61PPfoULPMCEpirK8rg
iIAHjMfw5HV17qVzdBMKxzx3GIrcBwlLzFzIqWD2k0ZEcZVkK9tZv0s8x3gtVN85W2cq4DbacXoc
wEa/KZMgh3mZXwR5TQQ6ZWdd73qP0PR13cRlcPhf7J3JcuRWmqVfJa32iMZ8AbOuXvgEHzkzGOQG
RgZJzBcX8/D0/SFSylSGqlWl6kVXW+UiJQtTMki6w4H//uec7/z+Ftdxn4ou+ExgadWhcuW7Khjs
4I62ej21rPVjbXqxKGcmkTqzMjr0U8lNNRv1wtjGetQcKKq2kRTjsHcF8JbWyfaxsl14e4lc8GBV
hR5Uzxgu6QPTaZkcs+/lREmo3kIUtaa0cLYGY8SbzXwARcXKty0Qu62onYUgZfScMJaXRKWxcdIZ
Rm8LqZcn2630N+GmSWD5c3YZ2Dqw2inEw+CG6qQqowoak7xBLrvqwvVDanrC3LO4xd61Bq7NPMXq
gFnc37Jxy042yCVsA7RcQdS8CjUA8LzpVCE5xrDjafRZVJH5JHhLTto4Wpd6LGS3Nnqmy7Ty55ui
DqvvChZ+h3Ldxd62hNm7WAhq505Fns96S1QIAf5sGp9K41G+olm0cWj26AXQJKoA2O70DAALZDS8
ZFMnDk7tE0D64w+O9btoyU8fnB8Wkd8Ixv8c/f45+v2nRj9OB3LHiFAx+sV+d8dJ3L6gZUUnMkPG
gXJk78YZPVyUQJG4phGmamdd/bjWLXSlzzjRyxmazPJpsG3NvpMxLfNB17bztzLKtJAxKzPZoyyf
pWz5VCks8Zvmx0fNSxUOd5xV5lPNUYmmewf9s1Bu8lyXbuptKpYcycaSeCTYIiR8nHNd4/hNKQKA
YTmbsBkwfM5Ll7JX3Ftznbm49thqBUkSkmXvmlEdZ3fI2ytQlJ1xT7mKXuJP7uz6MNhK17cqzK0O
w5xgAZOKMUSa0yw9/8yjtk4OXlEa/XVRaZw5/uvNhJWTgoGIiPz8v58JGcH6wLNl8c+Z8J8z4Z8S
k/9vZOJ/EJODj3JRYZufFef/olqywEv5m0Hgd1ryQ52orn79WUH+65f9oiCbXyx6fxbP0Y+mFcFO
6G8KMqkCUlM4VVzso0tKRJZ1G//rv5j2F8cB7kIdtWd7FOrwn36VkM0v9CJjX8LuidVbJ5bwv/4n
r3H0AV0/n6JSNj/9+bcDP/yWn1dW4DpsmumwcDPz+/qSgvjN3BIRxa0Jd3X7NIrvzWr41jNfpqn1
kugcc2ulP0z6skR3L62AuRxp04ajKHNnOmobUs2nSsXH4WQILNGp531LJ1bCSBOXwTAg2rUDxnu7
7zYKwdjHNEO6eqvxZ59u3FVrGe8RERNZ3WYkOtvR7cjZGpz3htfozjdZl3puX5+wOaV+/YHFjacQ
lh/XL8mCcS4Kk+vcHANsXmBIM1TqZD42erFLzFHfNl77mHSSCTR8LVB2FLmfJpni7exMt6l41AtM
m/okvk6TQ4V8ubM0ede4A17dUd33U8FiC3BWab7okfVWj+GWmMy7HVm4kGvCpjHR8ckVT/6A0ckR
IzkpctOd8448M+6zYu/gPKEchTIMzudsb9lnncqof0mafI8F7TzgqzrVJW1crNnxGK0KN7qJjBeS
jtWGzV63MnvCJukYb9vQuIJ17x5tVvKR651irSv3SctvJyrzMAgdLJ87JvukgsujAzP2ejzqWhpv
7UwbOGrad6negjD0k+6A70zd1oZBDUm39xQ1qj1Z06bHikc4mOTiKXTLSx5l9XpElF3NouFN7Vtc
iWF2k45jyPfIGRyKaVN5hH1zDcgla6K1cnxOTmyg16xMbn1/LlauniK2/4iTm/oKTE23NTNWCYY1
4wByrQMWB5hgSUQjSY9pRg5BAjNnxT6NUDZMZt8dLipOr2bnEfSufqYL0rjg+B2WFbRcT6qNAU1Y
sOpIOVEYwN4+TOwNU/4hcTEWLAEiohXTuoPMt2KmYAGpxAfyAg5eQBOtycZOpCXYgAZRUigkxUhm
BG9zlR/ydHrrlWEHoCF3IvJuEjEfw6E41RhEKSHIr5u2qLEbIz4jbiPHGtE6dbNuhY5eBdAPkfVr
8y5vvxFKYD9ZzNXaBGFKq/FVQeeTj5akvKQLWJviis/wXNnVV7PVXso5hlhtNN6aHfBaQl3n3YWi
yr54MdbVUIJzykHE0ZClxhshW46YCkt07h4FzS0lmllqLK1vChNSPE/HNBQ7jr1UNbjadw8b1Hpg
AcylDPLUIJJj6KWH1kOOv3MJvMNT7+g6InxXeRkNJa7Mg9ZJHjlXIyN7J6+Z37PZ9VaexDoO4OWu
d8xhTbhnwUVbMW9o/CQWL1+DUQsHFN7GCY6C9G5cvzsVjX62q6zb0qLdwozgQpuAgWV9/umkXbpN
Jfs7msNE6YOaiPhhATBVRXKxK1oTSSDMcd+fw47kRu+J7izDesAcEHKUjsO3vtCPpXCbdVqXrJQF
DrWOOjhKE9RqLuN9IvKHxHUfyLetkiRvDyI3vwmNZavd24epxmTJX9Vs2G4ByFfJq+nmbmDMH04V
vypB8RMBde4OeE6GNvbW7eB/lrYXzJlvbd2wwXVo0/mQ21EaFKH6EASIgiGfiXyMoJVFGuRpC5ZB
n65cYVWYPWqBI3i2aVNvj92gWCwhfc7OpXDKEUNj94AFp0IjwHeQp/HXmaN1SWT1KUQ+2zTUZePV
b257UvWaLk6AoNi4od47pA4y7t4r3EHeKv3GffwNY0u2o25uZBU8fGjtPfugu37yH+YxvZGWxqXm
nSbLLxY4xr6PGf8tfYw2YRlax5pg3CEP36LaTYI6Uu4uHD0jyOooPeRLXUXDbVj3Ksy92MOv3cEb
kfpT/5ECqoogtFt8d7t2F5qte0YpDLeJKe/q2aFpPm7aXeTmMaDRVK4djddf18ZNZi7QaPwnvDU8
gLIYHC4uYpuWypYydDIpAys/9PLFlX5fUnh+qHNrZ4EP3uR4OFDWvGRXpVitQdSs9QjzRD1mQTI3
4zaPYx70fhNUyVUVquRiZZWx9+vhgi5KEoFLZ1u3Nnu9vGOPEOKqNZ55bLNG96kQ0VDhVqZCGYVA
83U0wscojZPANDCG6lLLd1Pr3uZpOhyb1jvIcfra2u5jXmchGu3Youw8jFwSV2jjD1kc4YzVhhNM
m2YdEg6j8awNMArk53oy0EGNbzMYi5MCQ7/u+q7cgvUMMzIVdPlh8YmsvWbb1a2LMwzBF7jCssw/
U6O0Vx5ReUUyleKs8tiF9YdXRLC5CvdqGEmHlzPcC14gv7KcrVZLwb2UhFQ2TCMAcuFvNMniNknw
4lbJQxWL57ZxUZfC6dhiktLsiub3cde3DUJm6Mwr9kr2LjHKFz2ZbweDZgqLjdyqiDnsRQscSCA6
mVnpPvrlsdH2s0M4edYPV0pXgFpjGYOVEkQ7y/S6zwue6tN8G1EoMxTGO/WdRFSE5a07Xz8uN0Td
R45tQrHODCsG5BZh4vC0e02yAgI/cY+EgAo2uqS+O0oQPe8+0e1hC898gY6plKgzTDGj5tEBlbOk
+cMMOgf3RN3YN9OP3ocl185q6J6UjeABr1Z1auesGZ2QYzF7LT1GYI4bayMK/k9G5sPXxg4tkvbG
ngHbc8I14BgNeyBSaLxOvIkYIjazmRI6p/ihLps7Oy7oCDHLq06yWitmFW3ZWd6MvChH2kfsRCZB
ljQVyjpgN5OY2tZU8buSIlpLI7ZXdTTSMDReYoOYlpqdlWrGG9/LtKBFd2OROtsnq++2eWl4O9qh
sBVVw50Wp8ZO2PQmKYi3gUFdCFGEz65In3rdxjbgVTSPeBrGnMgZrvzmStPM5kSJgLOTSTVsKKDS
COQtrDlZb5gnyN4nZRy0rUdOw+C26gmPdwyvvWJG6UR16Jz5mok132gm/RlVZ360jYyYQzApQbk4
xD6eJY+Q/YTWT053gTRyj5xM+Y0prb6CYM5jNUdPHrNw41mMN76Eol+V8b3VGzTTzjr9qpPnb8Y4
RXrJi1UD/w++jEM5ZONyiegYqvznKpTmbpLptHF0LhOsC/5qNKYHroFdLyX8kkHeNNOiASr5IYfw
rUsME5v8hDUCo10U76rGevIlvD0dUAkiF7uKiF+6pcixssOgnfE6aGl3zX4ng0Vf3ZqeZLlduYCQ
R/c1y5wtHpW1RzUhgdA2iAF9bJRqN8px7rps7vZZSAQFygK4rNq8kNK7wzMXjZWO3VACUkNhwMuT
BK09vaY2Xq0m7R89oECbjtYFIpjdozSTszcRQDeasj7YzeBs8DN8Hcud3nSLxMcwgLaNc0WaVA9V
m2ku760h21X5MwUejI9N+uSn1rTPhFde+qjOEP36TZLnIiiJ0iDD+IdWq5xNqLVFwGfaxG5EfJ0k
E5983Bue9qwVlUB3gWYvU2QgS5qbOXE+5rScVpZR2FgBnPeidr87SUfla00cohlYh2MIeBit6Nha
1lPWpwOWvT7amvV9tKkgT6+KkIR8KcOvus2GKUOdLR15JMXDWr+zMRipjxrrGpGXnlRG4OdyPxPJ
9SQPM4BXU8RTzmycJ7Y5O7MYkTJheaxRC+U6aXz7hEmKQAWxIy8nFm6V1Rbn6nxOe3cfMgDYGWGz
1j9XIJXXFSD/M+F3Sh4oaSGdrAJT3uT1vgVgvjGV9+k06aUYOkR/2X84XnvQQjIZpnfdYx1eORPM
kLTCaAFVme6VFNO7HpMCgINxBToeX3/hf4yCWH7PZ3vlaOld6sp5581rimVxhuX7dnA6uMftvCNX
oGA2biuTlukO6QQPI4g2Q9IbSetByidto0I6Bgju5we+6fNUAXOoDGudmC1cL/VOyvlNH0DYRYNz
XzkZlL2ShlfssLHnPXlRp3HnsS6aXu66kvCC12PVn6fkwEbvCKLvPeUwNIdXOmBLdFdvKYleOLHu
9RQHuuk/duro+Nq+TsJmY/URhIeCVGEaeccy05/JgFFq0KMszgVoCewU9wbVbas50gLuwreaY3zN
TRHjdw4/liJ3iS9l7lS8oQTvxvCTY+nHAMhbTFFCkx8RUJjRa66MESV24nGA5umZKzNPCaQ03EVn
4PGAtrt1V849d+fqzsnK9opoYbsZcj5bgHAN+ZiW+fcyKph03IwN6ZUG0XztS4ldAc6lSqvrbkj3
+iS3S4Yk64pTqZXbSZr7wXbejdp3VqWG+aVFde1Bvv5YR/xzefMwKbz8r+9FIjdJw5nte/u7LQxu
0j9a3mxe3+vXv7zK979cvUav9V/2rz1NQv/23/LXXY6wvjCEeWC6bGG7S9r9112OYCtj4CoSlnBI
lpkea5Rfdzk6CyBwnCxsHMNhyfL3VY7+RWc1pOu2Di/E1AkX/LS6+aNVzk9ZALLH+g/0oK/zk4D+
W5Ldv1nkpGlrjlaYh9uBMdmJlx5bDuF2vDMac5ONdvCb1+rfkIqtn5Li/P6siwzD45sals8f//H7
RYWmSoBD4ZYsGKNcuBrJ0ubjU+NdxdYdw8eKHOpK8T9J2A6xkNgRTTDnpAzxfzkcl558a7e0oC+u
Ryt5oIDyIsT0Flvfcj79RVKQpgKF3ISrMiKaZu7/+DdYXnn11xXZ4f1f/2V5B/kNLKBJFss2Ng28
m799xZj0S98tKoRgbgxthnW658yW2TstvR614T69H0yxMwgBIbQyu7F3qomhckzFhbnR6apxwHu5
/IgdxKHuKYxU4JAL4nSShjwA3e7fked/ZzBbfmTPtDzgJi5v8u+YJAVwRtDQUbhtsLwFZmofegbi
M8nnF03s/b5R12PMIqJl0ljV/oyx0AD0R+1FzaroeSzxT47ufExKnH7tTHtTmnHYnWP5Quw+QdOt
j5YKuBvlp8qD0mRoaO+2TQRDAEia5yM0O31lyeHFDMlFLcGSeNtjhx/GYZWgzrtNEGExw+MBzBX6
YfsCqH7VtvlmiAa4kov9ft643wzBXzOtGDMueqWB1E53ighc6Pc77c0E6AbZcjURa3113ByO1OI5
BwvLk7H8WBTecCnr0ewNFq510ffrY1vdccFtho5nZ02YhErm8a1iMB1oNGIFdEn6MQBMSHLEWfvQ
1NC3VpTvsGCLqEIxVH6VwaayB+uoJkoo7D1w7wAx/qg54hzF7qEwq3uj6a/VKA49IG/l2AHC3Drv
S1ohcFNxj59fMACe9Mo7LD+UTOxAj521zQ/sOdO2EBTrxe2GouCVH+bnKcy25hCutBwmmCVAQVn7
pik2OX4AulPaXZ7WMD4uNo2ExcKQsJivl5+2FOE25Fv3esRylH/Lp+WzknNe82zoo/x6MBFQ5q48
D7M9XhqtBhyBBWG0N5gD1o1PiV575TvztmOR5zVvnUZAk5iwiCknnRyU/bdh5vVUdATPVAgWHLSo
iOLUX4XY5XuqkqZtOouNb/CNNGtf05YtFR9Wlh5Qysku0wJJkRpkmJj3edU4O99pmQuujept9I5e
dF3hOpe4JJIE6zW/nsMZkWzkVtnmpvFvtYH9LN0BWnKPE3yPhWBSfCBTdcDpPfOb9HSR2/abT2Fw
bPcXD4+FjL5XuOMLNaxtu9t4BYtaM155jArLbwU6aV14As/wuK5V8dLMHFbywf6Oj/qrh0+Zc3T4
UqiSJtJJO04VtloBiKuYZHxxjOp24KEfGJnDKx3x8ZmFAV6sK/MdbGixK+a8OUxGyd606x2yGCGE
055VkNZ/YuNMYxYYXuDE8uBoRXaQgNB4afmlvDFU9L7KYZ0aZFE0sl6PcKoAUcZbuqNXLm66HTDA
vRjs+yqt4kfV7NzM7BnW6LaalEbFh0MZ9dDz6Ut8WJ5NHL6ME5gyN9QuWSO+49iH3xAWdSCIO2xd
5eZrP24det03FjbktWaG3pXPuLzSLNUc0n7pONLcBzPl1uxhntgZbiM2KZbs1eR56XFycASDngAn
EGrPozt6t8LBqcRU+2jL5oLtTxJl4KPqD5SnlQ6mSd87hHoTnTv1FFNed7Y667ofUI2VRUMmHjP6
543+omHDYlejXv78QPR/TDT+fyxVAYOwyI//j18HiN9JVcuMkzPs/DTf/PJ1v2hVzheTecQXsA8W
utMiFv2iVVmLioVGZID8+2m+cRGkiEISZ+TWb1o2X/SrVuV8MZhKOFgwNjmC7/WnBpzlF/rtAxsX
ke3yrIaxgjVNgPT6xwd2xhKztEjkHERfWRdwbu40YmVPcu3JYj2ycU06i9VghU84ew9z5RgBzdWg
mKPU3g6pFW7xLpzgTOsrY8BCnWt4NmXifxheFq1L3bxrdEaAPPW+W4S3KHYTJfELscmyfF9aafE9
pFAG1ChVfiosDlVhHocypgw1HMztlDrTHqGN2g7C6tukcNuDI8Lnecj8IKWciabI6nXWayNofCrv
uDsNcUFbTs19k2PEAecSpGCxkY5PCozoCga/U55rO3Z5jyKlDMioD/F8rw85gIVU7MFNEzw2wIcM
g7FnZljXNbyIqJZHb+tZNsf1uSGqk3RXXTMTbFE6TNg8okLMCgfQcCJMtmZJwTTInpjHDEusrZ1D
zAtFInYybV+jOUvOCAbdShhRvm5sng5R2BawmDx3b3XgvY140E40ghsndyJ8atXaikA1iwoQEEQC
+qMHzPNoCr/ZE7vaySqbyVsB/r0qUloDSUJd4uWwmY2C7WmrzlINah0VTXJdGIyRYx+9x4baqq4d
7o1c2hs9GsNTCvm1YNm4SYxmOorwGsst+C60j7tRFhVxNUI/uX+wB7WMI5zOJstFVft062SnNSXW
24TkYVZXD0wF54TlwiGT7VqqlgWAe6XG9hzyZmZ6/9WvYDKqUse7t5iRyZRQxtJF67rJbmmNh5F5
iuZ2HzYQwhzVHRnEH2xg61nXb6akO0XZWZZmdiJbM65atl8V7OW9TPhDPGkrG18sm9nuXYYDN70k
TE5G2BtwCLqOoFVBm2/LQ7rMeKRnvp2xv4Yc2BXw16yv5cSVauicYn2eCyC3ruUUGjwWRL61K/uZ
/Eu3o+UkewIwQqVvJ4sTLrvsyc4okGqzo59pe7fVtWPGcO5VFn7Pmi0CS6/CgUcG6c4pJ4j73uPA
W32y2/7k6si6RPX0TUaF2q70kveJsXXHsb1e0b97hxJ5KkmjrmibOfr4/tupHrZNc2o94re0BqhN
XSSfqauyewfUEymjT02gQgtIQ0EaSZfRIjc2jZ69yhpVuCUbt2qM52wQLnZJedHYL2zsjnUhvszr
snmJihyk+VLm1bmxvS0d9xw7XyfVa3dDQfEphbbVHrflBTAC2FpfGo9V1JHdV+w9y7o5EV3iyrp1
8yj6NsvCWFldTOPgVC8QlP4ISI6fp9VpnCXKGIIgojUa5QgiB39Jd2lrhPO8dt9S+n4vJjhwAjBF
sisy4zMXXhf4tUTjqTJakGsYYiAkVv2sqSDphgAkgLxUfqwdJoX4ZgzxuYKoVWaQxi37JZfa9Wh8
mkBNBy81v4dOCI1QBqJALhFZzxowaduAUqxoN0SslCYCgEEqDXlmaGsOfQnUhR7aU0ylmOrKcCeb
NtrPIdbnOUIFHDPtrZhA4mVDOq1NeSbrqe0Zkqg9JkB7ncruBk3zmbZRVnT4qFdYi297s0wuBdAW
oEursKZjF9R/jNYcH8dx8tbEMrTVmEzf7Izoycygl00Xo66+586c465uNnZDsGCKtDSAdLc32nk/
Ftl9jg3tEM4gH9KwvA7zbGsV5V0GtiwwWIOledSsNFMCmjXTrzMrmxWyor8Vlai3FgaEtUxfkzF6
GjAzn5umVYFBaxyO17EMOj3ZDl50V+uo8nXWrh0GzyBBx2eB6jW8XuZO1drZ7uX3Blf9unGqzyYq
NnULVthwhvE24SkFK/Uto35jnReOCGYD7qwuXYz8hD/7Md7R7/KszcVH72I0tkuOHNXSmt3N2xpe
J3gNDjSERgxg64U4GIRRyY5zPWOC4N94jamK0RxsEynd0VE67PPJePNs/cZ3OiraE2pWKjneYhn+
KHMB2KkgU+RPBtZnsC0HnyqyQz6NpJqLrOb9P/hmNzxPGaZyL3sc/ellVoNxzUHzw5FxijYYq++x
qlwuYUs/6/EIIYwC8j1C3cEnfnU/ua5+KWFsuJYGk9dO9VcgSbQnd7q4TQt+Q5E12T7yr/O0N6/p
H7mmQtQPGioxjj/+MTtZxG0bCTDrUQ0IMFbXvhhBauB33Ih64I/LP7pcPGVpNl03Fv5805X6fW+V
xa4QZgZnpjpwARqHXlPjxotn7ZWlIjQR+R1iAfeszqaDVaTeuid/MqJlw+6h7CAxiohtZU1cJsni
2yR3xm3pVc/zbNGsOk7ZtGLERzUpa6BNCYMBuVYqAB2cCC2x0ZnHXuFcSnaD+5La2lULeiertHct
H/FmUlF9r2natHPwNpyYhKsL2StOd9iTj7iM6oL7FG/8EM4guaz+zYELsqbE0a+i9l5OmdqYIKfu
mp5KZLsPjWOo+vTUMFRcDzwmXMW5ExFacJKZVkVN15XBacepuvYqbq16M1kDx8CkzE+1DwDU8cb6
hQ37Hfmt7j7LuIUWrDZ/PFtQ1tJTlPAP0wPyCgI5k+Z4Z5eFeyoKtJ/I4HQLZyw9OmOyVfSHlPar
JkuIhlOWo1t5Z7zo1Aag1l4XJXXclYM+ai29V75Zq4tjw0TjUSlvoynf0poyfvqBXWCa0UM48GEH
RDEEAY1lJyAAAzZZ07CWV8Wz2+hbLuP0oCXpYVSLfOtbwL4gCt2R+N0kDFppouyHUkd8jL2BO4Eh
OWV1VcfH0y+KfROirBYECwGgyulWlc2lGar4iYv4YmszXMU4sS65a43EMHnbQ5wfqy5vxalKwCMV
Umk8qcD/F3HVrlk/8WCXqOHJXHMIqr3Anfm8ZJS8nDC7ZgFNcbcTY/EpEhztlQBoSmnrfNu4NDZb
vQUXAwbyzqkpQZ6LKcSJazmrzE4bzvTxjgdMDLOYA3tBMBeaJnKWKarAAluf2I115YdmdSVa0s5m
VQ8UIoX6fdm43P1nNn2Ti67YiWx+GFsj2rQpsWs2+aze+fTcNgyvetfAxZSAOFxzU1RtFaQ+8qGJ
H2Q9VOFJ9/gb9AZUfuu7ezMLhzWZBhgc8smdrWobhujHN2Qe1SWPiS3P4PCg6K2tnAW3XpEVbuu3
3FVHXXSwEDwD8mI4zIhoDuRRBfBjJGnVW4xyvlZ2ZC8qyqPHi5/AKcBdTLcu+SJkdPEY6tVwRdf5
3OsjUnQZWCPUZKcjJhMNOB/06G1yyH+VdX7Ieg/paHj1aotMJSl/lg7ZPVnboDBKOA6vXZ89987A
TTe/7QrLpV8iYoyNvRvLFfd6j0ehxTrEbEhsNYRDIEb5nlasnuYibDfWaN/i5SFCnWn0aQ/GTq8B
3nXCv2eYeSoT66ECRmLL+EgiEM9yOu31CONENLEMhcDmWQg4MYJvrWRxNbMnQLqLD0qndyHBIBOb
NoXAehezv8pOuVvz9d0wbAxPx1XVoqYqGkz2UVV/z6I0Z9un5UFSD865I+tPsM2QW690m+1o9uJu
qPt3LCVJrJefPTdDYxx5CyZI3HqRhRfnP3OQ/m9qC+Uca/+hsrCOOWgnaArx70/by1f+oia4X0By
mQvckOYoXKB/VxPcL9hBzaWFkUM4ksLfxARL/yJ8g/oSTuHW4if9+2Gb/+R6wuCwjTxouDqo6F+X
Af8BY+jPZ217CTFzOkNV0F3dtn9uz+tiVxR6kU6B4Spz1WcO8JaoUi5sXsH0F+tMZ66/H/TMOKJZ
axdd9yIIPGK4aTX9rS7MdtePZnqKzfyW49uVSdKAtiCylSYN0pjucgj9TUavjJHEt/RqYdRraOB2
e3bnSt7T3mcE1ThWO2emoGQkdYvvFAdSNZbXVtN8JWb3CF8W31xmuNs/vyb6b3l1IyssG/w/dD2v
4/i1JSL+uwv871/81yvcs7/Yi7oFfdvicgKo+es+ydO/mA6iGFRzG+YWstjfLnG8z4ZuLte4Tp2K
wBn9t32SIb4Im8sS2pXBl9K39WcucTZkv1OAwBpwafumZy7k3p8R79QL9CAWeyqWOweTigMSP+pk
DZONgx3mqm/VxJN04kl0iG+MenJQV2S3I0cYnTSzvgMJm67zJdzt+N1tHQ/WZTJj64Y27vXc1OqK
+zmYlda7piG7PI/4LBSHhiMEm3CXDZ/4v5mGnNngrySEayj5luszo4btrXCmmjej622tSmvO2UD3
w2iPO0qhv8YOy3D3NZw5D0YdB836hhKDq4p8+NaG8xNKh8PN5+Swb6ay8bEOkf7Z6JLbdpizEjjk
tJC1KzHzRhdTtIs5QJYuu9s+RDb8wSq3njHTYg546cYQR4P9ZOeQl4j2xhspL8y3NPhOWGx0k/VK
yeFcWiMp+qTexE1/9oz2a+wxISdgNZrsYE7xTDGY7E8DcFATJUf34UAoVT/0+fQxpuxFfB/4b9w+
Gs2Q75s8IJUUBsmgHoVCfmpyCjASrHdmP67xAbDkTlv8ro3lw5DKXvO0Upt4NOytWZgnsFiEYWjO
mfC0Wqj2qGLYScvPlDEkALCdy/jDxBK61G1Aao4YD4aeV9LptHuvqR5CKjNOWQjUd5rKsx66jDpb
ldgEp6GVl+5EZxY2jrmheqDm7lSjAGApQLZUatdapQgiS4B98O3HssWNAZpLLF63dDvR4opSjHGH
lY2w8clF0hSrzLV2nZ8HIrdi+AcV8Pgw0kE4+C91rZDWslcdNzjWeo8qDgi/JFFJYX36qXljNVjH
bayKsgUMr3fjIW0xxEdZ8q0jW0s/Tg5hOEYY8H0/2vm9SSuj3qfbsZL+oSvcbxTKHmh4048jDSqt
EeYXezTXvMsAZBuI+CXj297QQfiYsTj3Ydm/8fl4sCBNE1OrH6sMo4XDGfROROImwzJzrDWO+MU2
tSr10vCKx5WDiAqM6rWJbqukehjzLjqk3YOrm+kbm4S17pQV0tlrH4X2XR3RUG2llhm0Vped2qZ4
o5055lRhTYcwnMd1brcaGxQYRyAUaQv2cnouLG3YelE0nPIpuW1sVg78QPFtMyOSKUlVgRVG876Y
M3XU4AmscjFCwKLAKWgAMkKjgxJuyq9UkLIcBVPrp1twPGrr9dDK030u8+9sOM0d9veISRZ6B+G1
1RDVn109XLmef/Z5hVbwfjcsV4t1wmN+nenDVkIPK8mnEqqnFE9yXFJmhYOz3bvG9ejl+86IAi59
TgfY2LSieajAWq2UO+xFiXklT1i9cYG2XpLxPdznnJLZO5ou6XrFbxxjg4Ods2izISCxjjH1ODXl
jT7x/V0xI00m6lsfI5wlfvfNKxelr53zF/zaHU1OekBSUPId9PGaI8S9L+nlHVadFacPVoofhj4b
bCyCwIJpjuyA23PDjUGUBpTaqg5YBr6WlracfHfDhD9GFFEKP6s4F2yb58y6BkauITn7LeI09Us+
ZnUNn1QehvF6inALjmX9dWbLLd1DIsrLyICwmloRB1rEsNwPXyu3q/dGwpHVFdW1ZuvROc45DSd2
rvYqDKgXdC6DP9xxyCp2De+cL7rrcDha/HTB6Dvf/TiNrjsNhrxnG2+ixjyVDvoptsd5b8HfsSq6
eggiskOHpXYo8+iubBzz5I3/m7kzWW5cS7vru3hsVOCgPRh4QhIEe1G9MicIKSWh7w/ap/diVoWd
dW1f+7cnniiibkUmUyBw8DV7r90/pqjVXESHtdscMtctLnXtuesoZTIwkbm30pZQ7fN2PJm5RQRL
t5e6/ZwqlFQ1TGwVO0c3tsnsanPkDFVJC/D5e8AYu2Wxkmk1riM0l1VonNJbeww7zaVTDXJb4ccZ
B1wsHmk4SXtNIdhvKqeR27BcDrWX/5K98VCW9c92GD5hcZ+bM+lCv/pIYbfoiD9q4jcw4tVimhch
IX6PDHRQpgKHHHPJhJszCyTJeMZhkB8VKMR9lSoC3MWC+r3na6C7lev8ZtSZF2MfRuFLB45i1QvA
X2E0FFtPRXsrSg5Ad0wmI+Hn4CxfSAIYuqcoLeHgMOGdJOqKBulZrRjhShcVnmhp4Wh97c/FJl+m
J8lFLuO3isf9JPKXTBgPJhc/oDDEVME2ptZGPO2Mpd3S4e+c+z1qRATQEQq4KoS/C/QMZrF8jhjs
+A7qvDbsH8yu1lZC9C+ap+hw+2lFRBLBlt7IZCVLt1nvPAGAaw+hnI6u1jCNasjshoeB3njQL3PJ
oNCwktov48Q6LymiBclqHmWeva9bujcAUQBBp88MyeDKkrCH68p6ETFZo7Kfoh+Wu8HBosrhotAm
PrSjU62gJU/HKl8exKxFX3YhjnJG8G+EptrqmjqgRDYPfYMYARTBtVYJ61GE2IEH1WKfmzB+mQwO
weIu+br27I3hVPYFKKN9EU1oXUy+/rl8CzsZPymSp4aBN72W8a5wjSbcDcK5yqbMj1VYgQQi53Ff
l6X0hV3mO4vYdYCY3qlugPQ3MKJ2wEWbjbDzDsJnIbZp08XbqnKsHVLz3o9M/SOeRfk0xV8E4gDN
bitiqyZ9WcUEaQZCNuCKgX6hnQq3yH2zo5aX+ql0mcMCMOx3HFTm0WWbglpcgXsssH1p1hXRqwdt
zPwaFkDZMTZp0PbaTq/AEPTzbJwBrgapWT14IlkubgsXTfXHsas/+9RLD7zmyBNursAEDTJ0so+i
/TGDh3tk6sX7Ojs7LXPKvrF35YBRRgdBDFqBEUBennlpRA96hA6Faw1zpCDsoLX1q23nP8y4fM+a
GGRo2vTk9o0sPyZP+lE2PJLMpt3lHfAzr182gvtqreltfzAy/dPeCrFMu+r28ltnTAikEO1bjpIg
0pgCaGAKbhTyt8SomelpqIj6SG4yt/W2TWwa/miRL1P1M9My0tgZOsCC5NvRmBSq7BaNK3xNb05I
FtoNk7hsPXjzcvRi/aMrlz6wZF8dlRdxlKUYY/R2YmDnapfMNK8jwKXDXBfRneWc2s4o/QQ/Mb4J
98QLLDo4EVNU7hPf01OMb6FDyuqCJNP9QMR7YkF1z5zwoQT7AtnijMjixTYwtbcfGb6RxJp3yul/
AJ14o0xi4BLpYF5YhA3Kd62vJBMY9prmyRQlgGpUZ+ukR3YOSLXed7GSV8OafatDs1NiJVghdU3X
HhnAV08zKP6G6FRUjYlAfHpsFoq9ZgzDC7Leh3ZIqwfw1N2hRFqPOn0SW6uwrA2RV9GTyX+yk/EZ
mfLPxZXjgfFafMWB+cPRzZ2biuJesmHwSxY+TGgLxGIDYQctGUJ+UTT9ztMSb+2Sr+bHQ/iIUte5
8gI/mJ64VKM+PA1RdIHZ0p3aVu/vUq8f/LmbF0pYi3dAI7tAFn19AR9U4ou0IhaSpXZVVY7OZtbf
vDI/heg2zlNkd+dGS9S50pZPHCqeP/XahmV+cw853yF4k1EXFSY4WY7Gh4hF+jrN5PQS8kTg1JvE
QWj5czP2TzfSyaZvWmxo84PhmJcBJg6IK9Dhaui+JNd7YyDgB8SdIHOpgVDC+KFudzcgDtf18FZM
ODQWCoabCQDQJhPCIZnwH3jPXokK3Cnin0YETdJelK9m/Qfil3EzxzNGydSKqT7tF0MOjwsBZ2lp
oNeKyb6Y9PCqJ/oFnuZz6M0BWsuzmJbshZl4jt9wU0SlOsr2Znlx2fzbOe+VkjJ68IqcFPnqHWnD
hpfSl5uq1u8Ho1nFznQu9WZbL8z/Z5bq2GfORjJ+h3XRrCe3f8mL6SQlkbgtDVLG6PqQlOavDqkd
KwQrSJraW1mMPqg10VFJSGBrRzARRAa2hrTypmldcn3xbHR4nUzjoPF4hs1u6NfGJAZ/qTGn2F1L
ImICntaT876P403YtQBKQmfTE4R70UAMJTeZVCyeiY8ot4YznPWEyfXthRka1dlzK66kSbEb0U6M
Zv6mQFhiAgFHq0b+ZAjkqCkeTOWSGlKFbzc3LPmTp2QunmBQHXI3ezLM8ZHKLw5CSGRDbGyRnFMY
Uall03iynf6nCk3Kgxshkfv/R8sdoRkag+DMA8+rpekDgQ/3VpOoQFQZdLNpwj6icwily+AEuZVB
UatgGsr+xGZUBb2rnuwRzy4IJZVt06TKAGe6xVZyuB+cumvuivYmi9JC5HJRg1ix6qPrXOkjV4cY
yKQxxiOLCR1lwRoDlwE41B3OFXsi1zaAreN6anllBYXhURBEDqwIK742dYb1yVrG65gWijLouygn
50h2Gis3vmJbS275rKJ+sG8/WmP6qEzhrWMCFKAXRre4jNh5rZflJkjvL6hfnhpDVne5R+Qee32f
O3A4lZO1NxtGstYwjxsr7auNUYhp2/cMebHuVDu8siMNgHMGVwpvX3SAEgf7KFTxYVqqf+kDt+kE
0g5vZl6mitUy2E+tA/ff1X6OrvEydVhQJnqKrJpfUhvroUEwzgLgFVfeWxgWcpfpaEEEGnRnSt/S
iFVmobx46y79ecRwfpJVoKQNNHJSlxC0cQBROFCgxk6mBzw5krUPem7wiTFJ0QyMl4wF15qFYUcg
MkjaYbzp20Q77ENpkk881JuBmQ5+Wltvbrc66fKYjXBe4E2u9XxvFG23lTHtDs1hsuEomZ40u/gR
x2YeQPJ4S253ZoMSwXAFZpNcZPtOr1o/17r0gLPbWnWt4fgCuOS2jjMBN7rWPvqoPtywRS+2LRDl
jG7/VLYpK0Jj3rE8mTfIJcdDSosLLjbfueyVEaYZ7RENL9ZXRhfNwsKHzQerIlMjbCy3UjQqA7Fk
efyo0h+wYge/EtrA0edeZISMyJRliOZQRKsxUdNZa4hGqlO3vXSoWqQ5HNOlrk6lGsdzipeWjIoB
I2A4n6quj33dHty1NrZkJjo1NnlbOws7vBbOXF6cpZTsuuPWD/F0bms3fk/syL6W0ZCvMEDlr62j
WcgVeyPAU5qTHTo6J0PQ5zI9e68p4AknV+nVrKd+by8z7yV6/iAkEXRTkT/kI/9LjjbnrdJtVrUT
LpwaMHZkquhONzuy1k2KBWVYC6+ChpQGJz2TeXbA635LVbZ/OF4ZRNwscZYrEO6WHWBpLzdzBaSl
LdrmkOh5vgdf/D7qZn2aROuubV2GfskubH/bS0eW95zEhr61wtsqW9ETp6PRvyJDoQHUyuZnPoxA
F5dyb1g2oZhV/FmMuYaVsePmRIrv+W2Bi432TeCH+Tmz6t22S+fsCkaZPOj4psalvoMxeVcOyYxP
u5erCs7ZviVNhvKTUUhTjG7gzMXwDJx9rtmgZ4ww6FralX3L3rPjuzrh8AGya22jUFt4sUbCTz3t
XMypOE3jLA+tFZ2gHjDag0a7SwyuJCbkLznRl1QqdVel69xFCulrUVCUJiNyaNsk+sYEcnk0qtF3
nAzbn+kU26WhyWSpzdZqkcUds4iHnPlCkXkF9q9MwVmtXajupNiVugVSF8UH1WmsUy6YaheJhJAW
GHLoXltWRhVNGqvDlyKbURAnTAVkjNfXTkvv1DKaieBE7sIoHwNAPk+EHhHzwTNtpKiqhvmx6FNm
EYubHGN5L3iqH+eOAZ/mUUmabXk/jfkhzGsBwoepUYcvdeOkzUOr01bGZmjtOjn+xH+gjqofTZaj
xHofub16VYgXrGeRO7+DK+6YCY6Bil26M0RMaGGeUKUT6pZN5Lxy+J/sBKeAZ3NOR+nJILTrVGOc
XVGG3ELaeTuXDBJIIDhbAmWNazWPN4BjBqPxfrZuLZzxiFtxn2iG+RapedjmJq+qeckujhWi5BV0
ulMbARKbuy9i0cWlHk6d0B9SF2/34nTgz5P+bkbAFsQkEU1JSeU2FAVMxriFboAEjA2/G6SZpq7S
k+hxTUIQSHtcUROBspMxBXKLyagvwAjYidueknS8ppqRkjfZID/3xscxrIytEmTadc22DFnkU7RY
zER1/LZcrzEqHqHDvRMekp2icPowdItwAffY9tMRauvPftk3k/erAsTm69XwNd0Ya9VE9rrWqmOZ
5zKQ5la3KITbm/w5CVFEzRI7TfK29NrVYpm/IUFL35i9mvBipEerHO/nlNeu0boGYyYXdL7VP7iZ
QsgTMr1IrWRbmeApC46BodbXt398Ys4b5HqPi9E9RnGKuNBDAKPp74IGmlsyelRFcTI05DeLifkX
MTI2Vw0eYt37DmOsJMzyYJj3pWrvCCy6E6pjYqzEjkwCtYvjjjX3r7rDQGhHCULHclvnjr6LSKEl
IPqUZnj2KpdczMEOWtfFwaYjJ3O6zwmCOW/yRGBOjB0w0mKbOM0NrTjMvFPaJ08svu0NH0tMzGHx
E2cF5NF610+IsEfVsoQqGMBmGvy81nycFIQ+tH10ncL50UVsV0ehR77ewoPvnQpKhdxO0ruK1zJq
i1OKT2+lV+Ze68pxm9n5XW+FR2YwkK8+0drUHtY4spQumfbdO5Q2NxrilFK+m0b0gjLyFVOtdkQh
B38egTYf/b5UtB7M/RhukSDWW2PBy1SgVlgGcbbS9mJa4WeS5t01rdW4ymom7/S4CC0K3gO8VuL7
rMT8SZoG8v5uJkVnJtC30zpwBPN8aG4/0jraGzkdssSVVtClDnFqHV2rohcXG6Oxq1PsvdpNXh8L
kPv0xfXPMI0bFJ4Dr2dpfHrIzXxQ3QlSFIBUnXk/DSaPK6VZz2hlTEgiHWs5IDVtDw3aMFbeS4u7
Gyqraxcur9fx6CzqayEnJx6NZ0/P3/t6PqA5OYUECYKJtHb0ScRWz/M5duafoQ342gBdRhYKJeBF
mfJlEenjMKUT/Af3PPXj+9zkQTrJN8dyryTj5Ut/retfWXgr0koW6mA7tyM3T1bre5cr3dgGCSWL
/ssu0s7v4HvuwpwvepkhxBAPvE9Tzo+I4ehY0U8O0LtX3LyxcD+Kmvi9esidzQwzeMe5tLcql1G/
Wxt+ViXfiVa9ZQP7FHc3Wy+95vKXGff5Mvld23NK4ztg1M9faFXRoze7Tw7aJ6nqt0hkP6XZWFtd
pc+NJ+9ipE5xbdwvEcpUky792Fjjh7LlazFWb+0C+1mVVGKknekkHBFQgUC4P1mc8Gg5Dp2o5aYc
OQ7IfEb15euQjjep8yxLtkvKJo8krsVG9qBNlFki1deIi5ZAeSSqaczCtVj1UhsvestEsFL0pVF+
k7vkBjZOkpP280gEYxlOT633mKEuJl/FCi+VqN7M3DZeWdEhp4y6X5D3rW2Wj58gkFHoJtl7V5fv
GHWz+x/KpPpPG5wnKZlJlxaG9OgY77qQFRduJ7qkfOq9bFX0Cd9BTAryGPPQSA89BhL18pA308y9
RLGg9fWnQMu38zK99YVoUt/Nk36DjgvMh0E3P5jmc9X2r11e/ATBSoL7VGeoHr+0mjIN6AHnaca4
0iXuchUxPttNOOvXv/9SM8UQO6dDg4wFc6qU011sNLzV5llsSpMBZpgRdVNphq9YTSJITXYkzhkn
Fp5ETRbW0dIJjEAzc+sCssJfeDOzTypOEcNYC8bDPZMdLsd8aRPazKHXTondJryUsazraoAM1LwU
HnzsvPfBLej7xdQudSbuSzuOIKnPJ7Yi6XmaK592TQRjx47FrpztjNTt2HTIS9wEdXHsjveeNC85
nuFgCoEFMcV/MUYtvbdnonvcrL44dEpHz9E6ENE6+z2VrZNJ4eJKbzpvPMUtFSghOoRyxeQZbmIC
5hAwkXyIttHcc18GFisWBNTOL4UQsCtvGy4klWfmGv3aKzrB8Y8vyqzJUR7FW4XNcRfr3oPjWKwP
czAJY9c/tyisDmM/GYGuGmZTtX7mxZs+epX5Sf6FtyGeGT6S3r+MMWz+je7m9boQLCTq6Oa7R/eF
iuDWsumc604ov73QZYZHJ9oNIYybjK4Yq7twq/m5VdR1WTIQIwTdIzAbfsWKXIPVWLACDQEP8Kqt
ch/864HhVLea0qjdcfG29dw8MsoPr8ZiY79ieA+U+a7WluiARLIYzZXM48Qn0mlBo9oGNdqnnI4h
H7J7YxjlIdNp0IS0eKRd/XuJSM91sH8B1kruyMXLrqwZXxqzF6fWQ3c21OK7q6MZQgXokDntD4qV
VeDYnDiDKk7VqW/r/Ide68/ApnyyEK1XNzRearcDvDX19b6uetqrBkk7gSBkSVE54cQ6YaggdWSo
T9q0d2fiKKE974a2f6hisZy7zn7unAbBFPPRkHnyWdblsS6tj4nkCuTgY35dskOWhOa1B4LECNE8
WIM3rnNnZr3QWR7uL1v3HcyJPugIySC/uXkumm9ZTV9lYQkfxsfyOAxEwHjuCxDf5YpbK3bZ83Q9
wMrmuaj1FeQT6VLjq9ki52MqeEg55Te2st8jaJTrqc6/J6ekUkKP1fTVGFSm+sbKzjKylGWAgNLG
XyDc9UwnyFgN9K4HPgDh4yYpywcH6EZgsx1ZobWCMbyyeK0F0YKNDR0BmXBInGvQXaiV6YwrZvRA
fr4yZ7B9dp4S34XtEFfSReCRxrkiO6oezR1E/UCfC3hGEcwNsrCBqvTtNhN2s+sVZBQwagtx8BTI
xqdqBtrTKSIKxC6T7Wh4nOM2K6XWluXW5gtfGbUbst4avixv8r1EJv4yenCtPHevuefSIvNiiUbh
M6XcKfPO1Apvpzdz90BKhRXkql+OibZd8q+c5/7RTF8homOh7OQB8EkRGFVFaF6IATDNUf8TFbAm
Qme/VENNQn362kKXIq1As32b3NutZjSY+8L2d3jLJtGiJsCMNAaFzsBqNpCWF6oNd4W4adPHyAek
3R7s20gSJ/WR4QOrMTKBBL6MjU1w9kbRJMOY80By8N4RjKEa8Pl+6+gObRlQq2WOQnL4RiBOpQ6A
ePlebtqGMDVodiMgKYgaEPpypdpRaT7hR+SZW69mYR+o5H7VAyQBoTGumpz6lfiridxjbTUi2mZe
F4/PuRzOvl405mMnDPLIGiahdTUfk9mi2lM6fru+cZ/T3P7Ma2I1+4QNiP4YRayfikU/Z0X2U1P1
S7lgU+qJDlxjsYSiZRLR0aytqmTTZ95IOaVxVFP+nHYK7BejbzQFpOImUEZmbI1G7r5X25nk601j
EZYZodfwJCS2MS+Gc52DLZibj37hEQ7pTya8RxsVhQPuJneraaC1NA+uH5nqB1m1xbp120d7tikb
EJ2tWuG9yZHiLG6K59u9DzSsSDbWiGpDfpglm7y0zLoVqRuPtW5+eAWqfYNwUD1Oh82k1H01dbB5
IMwETZj/cuc69TPgM0YSvlgyHe+jtDk7FQ+BHfGldJ6i0mIoWOt3vx+znLKff3S3j2v0kZZLPe/l
U7rFFRMQ+Gydi0Efd2OLLwvhOwbMF8OlQCF0t1x3GbNA0G5R0hytf3Y9fHrnWjfZ5LzJ+rmlwCY4
njEb8QR4pE0dy2wyv9qZjrpZH/sNThKO8sWjWkqIn2BgeoyGUJ6z6o3dPNkcQ/w1I47zJ01xaMws
bFI9CPPZoZgcd81Cop0c3pIZv4AobBOsBwWHVsXeCSnr2tAZm8cI/laqHsptNqN5MKPwoEXWuynA
fhmpleJdgynT8eTuIkfEhE1xPJuCBPmKMf7RHtrsTA4TCQK3hG6SXoJqgdmfADajoNG32KGLYMZo
+YaL/NqNLKzIL8a11WvdYwfrhl/7A2f1AGHN1u+saeJlgSFoROthKO+SY/9i4zFFAWmsj9Vsdgcv
SwHZGwnLyMFd7qh0L90taVrP0uRYU9F7YTc9xhoOB1nFBxha1Zk4vw0hUYoELOk32LD2TA3f+OO8
UNRk+xH6YTJNEEr1HaYIC9d06zb9eeF8yQx9ZIVv6vjtIjrUinrSWabz7x9WlvZrKZnhzfCt7tjc
QaFTj3NiyFMr6wqZc8xee6RKqmcnMDkGLGEs93OoP+tZV230sS4JLeWIx814aoqEgCCj/hjsMDnE
2dDdM3gM1GC5577Mo6BZFGPPHmP7lGO/WazxoSsZiI7swzr9QicQU2NzyqPIJ+FHnLCUP3ixs5zt
yCjWVCHwLtUECk03v6Q7pOeZ58SdOdoFwVF1FUFuVDYWbPaxMEaTc9UU56SmJsWLb2y8rp8CRt3T
htCRg7Ba4ZcLJhGr6pt9oVPGJVNKqHCRfFWa9zIwST3ZUUzCamNghSEACcWmPOAFUvsp8e7jprKC
2lTUtnYz+03FWnM0xmLnDgD6al7ww2KYd8sA1slZEv6Lpe+GxsUPfxs8hQNahSKDkai5HUkOpAFi
pHA3spVy02mt6VsUOH4+go2sMpYg2J9x7HhIs5K0vlceQCuz6A5pBvXRTPUIU0hUHRbM2Imd3I2p
QfndRyWO+z65w9Y4EHrrvKZ6h6Tu9oOo3H2jLNLZTW3tKHdgFoo7mjsTVUlzyjy32+WomLbxiEIg
Ns6FleY/w33UAtiLXVuCBsXrTgDbyjBVtSMlTK6xovykmM122ZwPK3nTwaT0Ee4UkbXJrbdtWdM6
pFLtrbBghdtk2SGMFEk8bc2ldd9ypFQR6qcnlfCYoMhfohAhe3M2Mu8ZxUnGlD0VZ6ac7k7z2sFP
2/qeKGT3bpps69oXnRV0nrNpc/XO3LM7l6WZbPqo+TKQ6LLUGr1NlqBD4Qypz0Aup7uWLHZmienJ
kQtZfg4hdS4hI3tnAgkZAQ+IGWFvCCN3d2HolGtDhe2ry4ONPjEvglrpW9uMlueqTzH7admOaALE
eMV8JScn2TVNxZI2U+gGbo6almxGcor7c9sbFvPw/CFOqJY7YAnbpsDA7sA+MHtKzE4wRSuWiLnJ
Ithha8s5nwtmXOUioYCBQ8jBb24GID4H2UTFC4G7KdqTGrcEoqzeWtOVspxCoR9AAD3o3YQayuTb
w4ZFzhdZWlu9AfjjAjgbEjWcFzN+IEFb7qME+Bfe1l0yVA+VcIpD0i1vYI7yYDb7NDCK/AeT83Lj
ybAMDHspz3hWAyWwmCwDZoxWr4tNvWD3HRoM/qJe5gtQ9Qe0jurYzp3foN6iw9RPjd4iGYj7p3Rp
vu17FRJDkcb2NW1JWe7Ktn2y+vFXmQz7hdHfDZIQ2VO35hCNYCfV3xpFuTLsV3wKDZGTmCqiWCFr
0174hunDYmRL0IEDQk7ZQ2ohVk5xbmTvHgBgbjL20tsuwZQPhW/fsIycS5grDoTTXW+151ZUMeQF
+5zOIflK3HU+1LnE2WZVveni7oKF1jhyhRuEJzPqLsu5+frkXmW7XMGeVMPH6BXMOnl/LliWh4al
Z4w5x2IJCWEBCVcnO4pDFHytvZx0SMI+pztzzVyMUMUiAQ8AnovXIS8lo4VyMCNiaVnOxOW1K4Nu
+s4hP3UmJaKLk0Mh3Ddr1knCqFTp133+bdywdVqINFMzomu2lMnpljhtJkhvyXy7+U3oVx7AmgaY
xeJdraFGh7+w6t3iRbsBWpbkV7mI6kjuHblkNzqqJJtRi3fpGArgpunTnPfVOp8Z6+Njo+ic3gkx
RziZj6ecLdYAHtiougB5/G3uQFRVI0x9NeDBWqWzFmDePSYotni8gP5qlt9YBP/01YvXWvRKn5ZK
wKp55s8Juy1CeRImE8/dcovHurktrAF1qByIYwcEvc6aicwcxJhxMm16vuAN4hTK25vF1s74VzEd
y+cWmnDqfeIcAjU4WF/66Gqk+AyvdgJiijU+FpqwS9ZIILGOuXGD5VF824t9WBZbX4sCiomtO6Pv
9xaXfiZHEoiLuRzkfGlEeiNggqmVLV9nR1FVwz0rsvI6Errp03r0TbXzbDRulqo2od0/N2FqHr1C
fVRVsWFnvnXt6oHizFnXc1Kc2WFSGS/0sHVe+1EsT2kaGufMZqasJ/Yux/q1Jvsdwkpzu/AjmjS7
o6RkN5HTaLM9XFwMcbFq2DSgUm7SAbLrTJT44G6jwXkwk5/DEFrHfqTKJ0CNnWEPPS+0Z4p2sCXR
gEbXwwUKFtm9YgmL39sqfXcz9DSmsl/7tH0XWbjV3ci4pHMbPvaLh7TLrV4iZgelk+68uB2OodJ/
mTelpYAT9gMTmWx7II1R+da2dKMZRi3ozd5O0gNswH5Pu3iQrMRNpfyML5gQ9PwI0W4KOnsAzhIy
SGGIb66YX1q+1aKTHPWYaXvkENDHxuY+7m5pboNtbH7/TyN05nuz0RkRhTCFy5j9iiyrmpZLPnZe
EIOD/nQY/RkGOwvbNB4m3T5qktUywbKPrqsYErfHpG7EUdTew5gVZeC0Y+GHQIl9U0cPW+tUNAzQ
7abK3nEc0iRt8KgO3zbZB7xG6f+XoEJseySvot1VaQijps5Phj6UO4TyKxm27a6eKarr6hItwAwj
5oPrvnYONrGN/qjYuGhl5IOhiRls8Hop7OdhQTwm6Ge17ju5mTPL+myY5n4EwPgUMrA7IJTmsJ/K
+rmPNPRgjTzaikd2xrd5Z0OeKeal9htdyt2cOdoeUI+5lo7jjy6KKlvqchv3y2ky0L4ueTU+kfaU
rWGfGvu5hGHEepQvZm60Iz4WtdEYq6zNkNmvRhEHZ8AEuVhc4lSHEHj7gaayDOJmeEwsSHMwj860
vOZR5rdp0czm9D/uVfk/Q5r8vzha/n8k9P/Lb4Jv6n/NPXlW6r19z26OrH8zY/33P/svr4r4h24Z
HkU08dq6bTkkX/2TfeK6/7BdbAH6X4PeTUHQO30ANixTmL/T3P8b+UT+g/+DVaUkXQprFxau/4AZ
y8IN8yf4xCKjTuhA3W6IOcfUXVxff5LKxjCyoIkkYTA4MvzI0ZHjW88iRvIEafJkVXYaXZk9iRlC
hzZ+i5vsqrbC7BvPIFBkPZ6rQIw1IM1K93ossKHJ1CetGL/ROiTNywLA5xWnvPPkuB4vNKesRjQo
rOvTjcm+4dHqs2HCfZEI1Cgi3NXGZD0UVVYi+hG3RCxdHk005t9VmzpPdagle3SS82MO/xLbbgqq
A6V6w9QZN3sn9603sySbkvYFoL7WrbzCyF//+KL/5Wn7M9wAo9C/XzVLMAVgOoF9zQW88hdcTBFB
dEzzXgZozof8CQOZs2VaEVn5P5/Af0tV+POD/hL7aYnbB91sfLqwdJxLN5vRr3dSUaPuv/wn8Z8t
uAXS4YgNZm2Htc2bQZjsxLRy58Nc7ery4f/i9/rj426YnD8+rh9KI2wmPs6NPmrrxzT+stxAAmKK
fv39B91uqz8BeX/9vW4X+I8PquIJCJvz+/cCyFIhySya4O8/4n/6HTmSJ45dAvXRX+5sxyEkWJlK
BsnXAsbqh3shRiFNN3//KX/1ef3+Rf74lL98QXmsKYzBfAqNAqaOo6f9b+6A3/Fe/8Ol+uMT/vKd
LES7jvPtE7ovcOS0DDS1+ZURc1NsLZIOu/Xf/0bWX/GLwjJ0zxKOw7kEl0n+JagPfpuZDU2jBRq5
jhQgysFZxD41Wpr0uR6AfKzyYcDaXyXReUBm9QMdeAwUj2X5J/xa6h6TOZrSREodILqr5Ih7iy2A
8rlWTVtT1qfEzGeEHoKhpWmMwiJPos5OWZYicZpJD78KDkYLwbEbPzuR5h5Sx5hzNKKiejU9g5A5
GS7le7v06DQL5dA6LVFrf2ZTSzOQDnHsbBfRMrEO7Zpt/cRq4/7vr5Pp3gJM/v2bMTw8tqbFMUDa
yo3Z+edNPC8NTKk5iXHfqKDImoipiZffmUDxApeRzYqFICRhZY6nyA4bfCcJm+eunu6dsOiQWhJV
WqOklOQ8LeWEDrS0kY7pFSWpVGXI+HjMny1NC31P9NmhVzfqScSB9Mthpb3rU6wGnoVu1jInSD2j
ZG1tD/zmbaonm3rKvBUDRWTqhuIwrRxnY6fyh1YSFSzRus26cw29FitQxzaAfI0eevTSXaDGjg/M
17H74b56WqoQwJOs5LgBKT1s5lAr1y7z3zWEy2Qd23q2xSKWbTurtknOmLv0BJ1NrfU+eoRimO3T
SAM8N6DH+6/MnVlv20q4ZX8RL1ic+SpqlizLtjzEL4SdxByLLM4s/vpeSncDPeA20C+NfjhBEhzH
lkQWv2HvtU3fe6nb5mWc4rc5Dy5OjUBBQWCP0oXkMaznfE5D4f24BfOcFcmpDTzosqCNYLZS/Ptc
y3+fsXn/uK2+yeCOOwlKEy1lkG7G+xWy0HFba5UBO+HJ4BHkAP3zMCJcugEdMQ6M5j1iYXgYFW0x
7p2ZQXBXpqd0dsovYFDFRvfudjR7Mg0Km/fYr2Cdz46z02GM3zFQ7rnD2XVWbTDQQjDVQjp8yK0a
FTqGuF7wN9DQi8Md6hGZBQi9djT/dh5kQWU5LxOsC4MmCVQ2etPsuzAW2EUzIqqGDmeFDnXYoS7P
98YEi1qgDqf9J5yCaep+CEi5LesY24eVhHfV3BsLe/BNEx5+r/hEfBmuJEwxID8lborApXdpHfKb
JRL8U0cDsR27+SPpIBSYk2OtqgFxlMPoZOvYPV2PMn+PSYF+bEbv2YZ0DIVkiIDcNV6lfch8y4AU
07Pq3CUG/szGSQQW7hbGdjVhW3StFO8qeemA2cEXUHODpYlZLtfZ/ECmxwCH3SXqPJco2pHNbt1Y
FBvA6MZuabN4z5iyjEjoQY2x4F/MWUGxC+2bW2X3XeSie3jqyaEg2yPzo75j/ZOx0N4lIUNHszfU
ddLq05wDAEbhODybkKROxRyPv0IhISPR1hzKiSR7rvaxAqpqsk+g6kZYU7gn11X2ukYyFpm9EJ8w
SIhsmXV80IOJKMFgWeEX7oCXx/aeWx2D5HRj/wn9JKwII0l2ndXnOCqQuTpeLjds0P1HhB2o0mbp
vRhIoHZ9MiOStjXaIowazyrw1J45TLlpw1ptB7KUrlnedptylMbKzIMXG+kNLP+Z2F729FFpMtZn
OYx9hH0J0keWcsogXHkVm2QMEZOw7MYeraRUgfNKhrNJDhIDOStNOsyfExyoaUagIRPvvcWZlUOK
zA8Be1sx3sXl3PXEgudN/OokhX31KlkfJdnzp7nslk3QIfsq3BlhdCztvYmOCGrlK14R84FKt3wq
Z5aOmmiktDUemYmuQfFCYZPxm3KI80Me6B+KSeRRtVTdY10iHmkF6q/GL5q1aWBFTHMyqYfZcJsL
Nut2oWUdUIMYto1Ayp3UTge6W9BLVVzHpXa/Ae8UX2wZ811cDV5UtprBtUXowXqBk0wXFiTIbHu8
XnfF2jLjVw0m/w25ot4ZQS8eTcNLt3KR7bVs+KlwJThdRAeukc41e2EZb6E/cXTa2YbAjYqHr50h
vJGP4Wz2UZ9Ima084mX2vUFERLJIP8rN9K1pbO5YkyDG2gbthJnHi0LNV6QzbqkCk+86GG0TFE2s
Kti+Q3tblONEQzEvTxTd/aXs0DRV6A+WKT71S3Jx74BRLgO1MgPjTYccTW0ac+0ElXmMZa/ezUwl
ey9NISTZMtwgivpBPuydJ5+IipDvgSsT2TyskeelNHTkGyy2cVSm9Q2f7XAb8rI6FqXT7pyJsfsI
CoztXWqOCrdCO3I+JTntKYs5PkJPPTqTvIWInZjCdZXmPKlq+dSYbn9k/59GXtd7h7RpuzubBMVl
X7/8n5/Erv+/l8n/85P4fylZ0lgrZh2etUtyV96dzh6UmHCamoO31OZHp2PrqV9YvBVDFzIrxieY
b7wqw/Hmu+Yx7OwMGheuDdMas72VASpOvQZuImjDD9Us0zabwoZdAtZ8wMMJW3xkxSQajIjfD4aW
AUMRPzOfZ5KtLrIre4y0NdP8auCbElLQbKbabpDxl1hpxLDk5GcAfl0NbWc8uqrgzumH7JwEltiA
HsvWoPXFi9NL5mF9Hpwwl4dRNXCapbkd/uHkZG7BIsXE9CVjJnHae/EXaHiF8prdnZe5RjJS+Cun
nxZWXGLeEKQAyExUFdaZxLWRbjFkgrJj9wJxFbJvZlYaKhx6cGdTOdxKuobpw0t01HeX9NlLnwGn
CkeO9LCNbeCxVrOb4jl4bnrhfmCAzcJ1bcCxJHzLEVdGngGYvlH5vzNjJPSlLsfYJAAb0GVL4NrK
aPoK+304sq7hqnzpwxbvAYvH+suwDY2iqI0/w3x2D/kSqKscW3vYMNdk2Nb0y7pFaLifgdQ+BFlT
/VjJ4m1VLeetW8VUyljfzTWqFeMlGTPz6IHlfBpt18MF1yMlWBleoNb5VIXq7BbtQI5v2IR/PQqg
nvtXxYDYiFjea+k3f5Qv2fUa95vLG1HqbBw2Ov5qQIzjbFBAz18AznBwEDD32eu+xxIgqxIIiRjf
85mtaZpjRwK7EB5BmFjjemk1Hm3dVvFpqPqGfPCxhmMcQvGpm0y/zFkyH+TUieuiXBYe9b+zTN6P
NcnrjOz7UZffDz1ACt73eD8IO84DzCUQBx5bsFKf9b8zs0pDOEhEXGXdJTQLaAgkjDGzHZQR/BK6
LUDQaZAKhjfvqau7XYHlDN8rjI3r6HnybTIlEGQRG864yf49Oww2nFdlQVYgGaXw+qjIrOxCKME9
jZnQuc14f4LhzzGISNAsOuEwolSJMUsx+eNxWKNzTNb4j7NXUrq7ZI2tupyiJQixFLOfdk+OZYkP
U9dUbZ0wDi7Y3xOl4bwXjVIYU80mu46TK46FMSODZsgXUZ6hbusWL9sDxMZwhaNeX+WcT2s+MY9x
fj0eMyD8u8JRd8xejGfNcCuxcMkJtk5GJdjOQpPsPvLZNHcZS8cDez9CVfpWLWtiakzUAYne+plA
LKMnWVyyoUivlq5CaJ3uBIMaVwyWWZ9VXF0ET24dxtu4zIKt9mLObxzAV6PO2scpKYJ3u7H99zBx
xR/D0+PNnzimkjzO1qLQ6sdSeuTlW+4banBrjhrfLC6J4Y2/msq2f+y05iR3a1Nw92j50i5akU1f
ELbC43Y5BJ4o9oMVBCdW01M0LnSKvWgSTAkmbsjJmL1NJXqL5ojg+WegLOwqrCVc9uT9YtbNW+yg
TQGasBlKF2N6Fpz9MrYfK6ONAeX185tZNeNeGGZICogklwqR+2X0yupb+/2IrceSn9aQhZ+La7WP
geuyCpuNbJ2NcPNWKd4NwGMsa38BwXMX/PpIP53BqY/pP9FrnmAlDgv12E/kAFgmlbS9WN62a113
41g1GmynLkCj9tD0bGi8Z0TwwcvAc+lHATK69e2E+LYHkluvB4JIgPryXF6NLNj/mHoBFO0WA3uN
Kv6FMK/6lenZXbOLI9EkAZtqWvDC68DeaB3Ol6GHqlneE/64QPXWrAqIKPccHpnLZq/GkDuTWGJO
lDuGweIQQ8prYtI4EuMLPdbLbwpNUU52QS22yM69DCbJMG87Msy41S30i8uAzqot6mojDFkdwMT4
eC49shupUuPsrVWMt2UwqU/a6kUjP8+s97txYi3ZVt9tYQMrKjl0oDU4tNVg8/aMxvvUFSSBDRNV
Qd2Yu5wy5Dpok2mC6ry7Qo3N2DTQ9XR1EPV+uZwXMDKHOY6RPVoWlcNC8pYkAHjjmrNLUF+KzAG+
zikUTh0Zwm0fzFSYj+aSVW8y9VrNUD2fHxPQfs2qj6FUEhzBVB+LSXEKkkx9zmPR3YQFmYEk0+Zs
py3+eQ8JOQEU84fsJRt45GXH3lLLF1ag4ZWhZPySuiVjbqcKmpO0qT4DCxmxg2j9IhLmO6ptls04
KH0BdGfvShsjeJdl8mMazXEzpqhBItNgX4f4IO/2tWnhANOhkcYcvnaJl2ZarGora7mQ4WXfjSGS
pp11F3GidYNnBtG9hzd79qXajkiabJB8xA+uJ6ePX92BBO30YHaCpbPjTrO6kPYCoydsyyfiOrO/
UnghnNO5AxIfuKzY3Ly5JQF+29yx7mTJwHtBL1ZvZzf5ZEWIsWqcnHJDVJy9l+Bit3ZOT9SGTru1
EM/sgCc7x8Gf1HMVyHOQBFGl7NU8t93BpdXbT7NdEaM10Rw4epm/QDTLdTWE9rDGkZpdE5S8h2EZ
+j0mHcSJloW0SFXzp4/tKeLK91Ckm2SCBYRkuW56sxYSKjtromMzQtBBshp9vHPDfIHuYuziejJe
4NL0O45nL3Is8l3Lucr+9EZScOnFIcqkJNwE7Tw9mziZbqkKEzYt5IDaJE7AssD7gO+g386SrDTN
XOU1QWp5Doyxk5EVT+wBG0heRN9ShfpVheM0c2vxxZ7a27jjGD65xRwSgGYn69bv+lXd5S7RIcQ8
Bkk6bobwnpmzkKYIm5RIzTTLkAa1bNs3bHNdWEHZ5JNRZqbbvMpY4RmlcOnnzfLo68k4+gFKCoE0
YS+xgrzEOCI3zWS557ysw6OrnWJX6Em89UhMVsrquErhbrzyrZCpDd5CDZmYRvbhZlzzzYRwh2SH
fh1KOC/AT7nZ/cV5S6Vj/zZjgEyNRYSTR32PPsyzNg7hGMdM4M70437YYF2sfoKqCB68zkXCl3do
7qA5bErlOVvmCeqYoBnc+HmMjkS4PRVYQeFEHfnNuPxvOGhvnWVWeOrM/sk1u23MwGujQVttJYrN
aG6r30aM9RadNFwidGQBNdlmanNxdHPJI9OS9YOP6WhT21Z1VGy7joowig1liES36WQkQ3VsBbyB
T3SVdgOhUbIv+fwRu9+4UYm1Y26V/9fR6f+ziKL/jxdTNDj/+WLqyC75P11L8ZX/bS3l/0dIbJpr
ovFD0hEI67+vpYI7kh8dqmPb/zMj0ILiT5QewXkBU3Uz4Cu6mgcfsdLiP8L7vip0KXxNF438/81W
yiLB4n+ZrSLMDWyKEziB/IzeP4jg/7AgMKXJ49/Qyy5Tl5GmYhPQgDH6JdYvBzrvGIm9JvgOU6fj
/nReuE86Q/3N2YjeQ4NU4E9Rr8IYZ6aYXmsfeRMxM0eR4udq4sbHW+Qgz8hhTqvKrS5Bmnyiq3sQ
S67xo31pDAdrOcBHXxx7eXL7u1Pap9FX2Eqr5sbk3P7SXMObYJEuNNXy2fWcHyUaomSJK1y1lXsw
wy5C3cRE+y4mQJKlosmZzpkxfBGOmIDTMsq1QmXOP9sNkSOVtTY+grb9GNsGHCvDcrQUcgffMWLL
gKw5mLZ9acgHiOPZqk9wC0k//SP8ZAtw/G6Op66y7E1Mk7fBFcpQF1b03R9YhgH+W0vhiE7CP2nC
qHrOjobKPoKGDjVo5bGffXwHffLqBHA0CtxLOLAzw4t8hYI7hrNdMz+8UUUT/DyP2QV3/WrqjRkd
fRd/lAOOC9HMW8Zm7d4Z0UcElvvtIoWe1Rm/tP2CcGN5WGaSRwK7jLzaRBbQkKJnl/ljWpbjJR1J
OUCY4Zf1YxBPzhMniQVP1zjMM3Phf39VNyDA/YXE3dbxHu0h0LBioMbYLgIC6Tlymxp2/FRK/HAZ
E9X3Eh/0ShVJehgbMDVtzW6zdVL7tUjQgGs/XHDhDQTIWqTmLA6QJgNdkJGYHPb1o+EM7ms9bkkd
8m5tF545oGdEk91HEjT5CwWlcYSZMhMYnDO8bZsvP3yzbbr83kIwg2V/3SBlp+dPsU/1Yf/SFU95
E1J1yMrbOVmcbqs2I39yMLD4pvHemC+oNDIIN+HbItwMFxq5hQbGcexTzR4tQfCCIWzXCrlG7JWf
ck08A/MPnOVW7Vz//eLgxsHPp3qyjYLigmqDsAar+KXnTmzr1gdErb23QoDT0rbZn2YxXHoPoDTW
d/JJ8/FLlX69b/2aCAo/f4orf36bdUm4rP8Q0z+fs6JaroXUR5MIJ01d9dkPIRqf2X2EatasXBt5
BYGIZmTNOSsSzB07w1nWdm81G8JPvXUeA71grhygrK18YzgYmMwmTDOUSLt28eGri2Y1xmW79kZz
O+VkC2K5nXiOQ6wS13KAczImBiqMoqHO18jKmKET710i3U17h6EofnuERMsH+POTT5fMdUZb73ln
bXDbOfdi1uyA7le9tecSEed8Ej163OLcmnXBZMdNjyZWRgrdasvMhQbUcrA3DYP8DLNH+KD4aGT5
1lJL7ZsKEm8OnecJYW1UEdr1ao4jMrEerzhaolewirvQJskWfE2IbARVspkyCu7RH0ZSVhPVbrsS
ROY+Bo48OzTwN9Zgz306yIOINWsyoENl0XcvZoqU0LNCoijoHfB7kzic+fs08OITD/6WcgeQcggj
W7Qdtsoq3IWYa7UZVC+LLWjdyEAuYmPLwK5fDQbRpHU8LEdPjuOJeqhlfAYluRTOm6KFfqAOWiPj
1mABwmKT7DTTLlBGpnnoMR4SngG9nfzjUzrdc4EcUhuWJHzwXZaBtIYHo+nao1dbZzOTdwaUGx5t
sovicTTuOb8pn6OeEHqmzc5BYz0GXI+AvvSawPmAzls5l6wgk0tIQtGa2IZd0Of5LhF19hpO+iCY
ptqzSM9lxknqx113ILSDQXBBy9JDKV7QyZCrqRGk/urmFuGWEOGmF55JgLOK0GQaFwl6LczxTRoA
fgxjcC5jHG5cx2Ry5bNFq8/diAdEKJjLsfwR4JON1iAnzfqdNePBwx3bAnu2qvrEu/ClGp4DgWn8
LNDwVqwHLByWFF8kGrTK+9PK6Wth4B9lvXFLC9wpvdHimYOexOXzMlMRMtinF5WMTuy8jNKq+O3Y
cGo5bm7moF74noFVfKoJ+bMuLqm09tkx18u1B7IenrRoFS2PBJyf7VQzPjcqmNcayRhDDvhE+eI+
9k0ZHpcJzrU1sfgr3KMyivA4eMYrhscYplG6YwJyFTNwdTGjeKYqvuYWKPGRB5sTZ4ehhPxPfxri
NkmCB3vLMiuPtBeUAHSYqoSguTjbmmNq5u0RqSjPcofm2G58yndacqrI6iaAeBxxll0zlHdknuKX
ytynKY+nTxYAG8Ju9UcuGXreMa5bGxrMngHzulgrzuKXvEhQwIdsDHOjU2dGeBX5n9Jcu25Hlnul
x308jfSgmijvZuZVxMnTos23ZkpOswr7m2iYvA4WPnBReI9DZvin2oWdVRkaVhObGHAsTcCPHWeu
H6UsrSNEjLcCCy46PHebNsHfWrHmXFKOKVaRHuspurqwNcJ9EzrvrljEA1MIa+XGafiAgLqz2+Yq
l/qVwZWLQZuZrcc0lbmmKHdkZ0NWD1K6RqQ1shbuxkyK5BiK4Ny8MZg7tpKo+ilDNSvdkP3sECh0
cBYvMq4/A6wBrKFBcDkcimN+HUpyhjCQZgl58H6S38wE6FrHpV256o7b7yjBWfPadch9kD7ost/r
ejFWnevf+oItITJzWshFlJHP/Ffue2tEKhmCHevNDCusZWNbzYn8Cl0cZeYrIdP11SJCWTSkVfsp
Zuw+mCLbL8y1EDVywmyMEBcs6F7h4kNdg1DzWE6ViQG3PI881IrhO3cq7JUCVntvk2dtPIZ5b7ER
9YqNYzd6RxnTr5Rn3hJ3/MAQ8kG1QOhRwbbHzbKDzYArwnWhogBbnIvBEN7eqqlcJmfFaK90g0kp
9m6M0fazTyXFKmosnrErPnX8N5kTphzXvfS6/FbUQnNLqkHtkDaZ5h8wT/aMsqwVOv4Xoby915GQ
l/dYorF8Ip0SehuCvFrPeYfGG3rSWHgonpsMacVob2az/F0Z6Qs18Dc5sRH8sHjl27h8cefqEfYe
s3h21JbKo0IhO0wTi8z3uNBRRd1IhIBJklAogZZJvypALvEbUTNMROEbiOqPy2IYHm+SHoXwKBGx
kCO3HMze3jfa2Fhl8+EqMvVa335ghnhshhEa0nj0ygtmTTAb6lglHt4kVfxYvPumibLRJNGjynLs
0tR/HhRTyBFssovyZ0zJeu/TZMO6kmevHWKcbj76NrwVnn4PoIGmM4vJ5ax9GxfMG1kj+Bwa1tUV
UXlNnH7XvrHB30TZa8E0thAUJ6tU8X18PMFRjYKbgctmoDJc8JPPQXBTNpbfxUl+0MptEqKXAocZ
ktHyNW7M1xBcc0OFvUrSedP2HyjB9y0AL9TOv9IJiJCABOPY+Q8y10Mt0TTMRnDzE/vp38uzUZGu
ghkdnJ0oYEj531zxfoD3XVsOQah5F9/iubc2lbQOE2ZbQP8/jAxfvQkHX599B7JJo+LiG95lfmvS
5bOwwh3Qthvr1AuI1XPayheSI+GMXDJs+v5o8A9aT+6Q/7RDcDCH5qOQfMvQWHa8i+vkXnU7gw+P
MP8hS/PbMfOfpRw+TIOnaDftbWU/VTK+LXmBT0Z/1cGWRLAq/PaT+OYO7k554S1bEhgnOL/L/Nts
6CykBdqxc8jNim8tWI10NP4qhl0GC05l3GCVfMgq2cZN/j2o8ntw/OeMz7H3Gc3X1wKjD1/ke7wA
XmmJooEtzVOsvEPpEUI/BH99s9sRTQU5OA859HlM3r9/iEEkMLD7MHg8KMpi6lhkdJhvV37J+lH5
33XScb/XzUdVZd8pieNl9mHV5ZmomA814z2HUoGuEG8TYsSyv95fXtOUP30ZwEwdcpby2XcVhrd4
4mdP06e0YO7g1Bdrd0k0JAr6qeOMimHID5USSKrzUHGvwA4darINOitYeWxDTmwynmgLiSPq3i2c
UajGOUpqBF8AM3lS4j2JvFk9d7QFzXhPh3fa75nkpVU7G8nBZgRviXw9zsAEoIB1K91+w0wlk7A2
IzJvSZiPARwzL4r8gVKnrQfW++bnOGfnuSgavvxu9DfT35MfXpfZ3HvzRNZF1W3yeWl2YZH9duBb
HQNrOrpmvg96DGpd+Z5iNyAOvfN2sfR5JLSzeLjnjHUZ5goTf0ebFReyEgec9Bay8zvaKGDxu0ah
ghBJqpScmxbbo6qGUy1zplsxhjd3CQ7NOOhja6c2bOAs2445Dn1nzOE0SoOA02LY6rzpzypbrpjR
oINlbPhTJ5mvee1vtYZWyDC2ORmEAKz6RRa/aJQnr/uN+tt7xBSBqkkbxdGb23Q7YrEBol7AAynW
Dm3EC8ftR+MM6ilTx5y3nDs0JL6m1j56arnuTTbiAe0DchVO7LDkxTs6xMyUVhu7UCF0neyXnRvj
mZkVXbhLGJmYuzXDtOZKLPw+VFP5yxqAPPjCuLoq2w0pzCNP+8R/ZUShie4pSOrpjEw2MqcWqRAf
0mlOx/E8qfGA0C4+BLouHlK59eXkXoKeB7I3CrEzVG5vZzwAUXIfIA74/rHRzvQnYTORQWJfqkyQ
rhtAjEZjq+7Gf5z2xSN/wC67Q/WPZkg20PzoCh6wVrNgt4b44FhcpJkZh8cmPwzhxCVtgW6f5zfX
bf03h48m5JbEFOLVe7SF6hEQ6FuSi3ajF0TvasjeQ1QJF8im+jUcpu+hb18K0QzPjIZ+yzRuzkbX
1tDrqRC9AiupP/GuFQupI12gml0wEFtcT63zYIfNIU8nMj7LQmzxk6Fl6CCso+m1Dxki4H2NvG+v
RK0j4UE2zurshfS6YuXnU36B/4YZ1XuOgRQFmTLWllFcA1+Ga8NN5VkRSRiK0N2EKh6OVA7Frm52
ctk3eVpHXWcADsXzxZqmI+cu0Re7ZeptF+Ypu//CjgU2bk7L0eX1ru1Y/DC80OuhNrg+4HPcGEHl
mxwRcjt4+HQqxCJ1DEK+qB5abU7rNi76a5IQompayzkGGL80ptgaQyBeyxEvJSKhr1kD2WrUfNLd
UNDBKrnNPaN/grlVrsnWBcGeORhutB8tE2WI6sO1laQR1EBSnUChRB0M0tki16sErCjL/tUWmET4
vhDf7onNenQiNsrBGa0WH4EwiwOD47+1rYPP+29I6gKTWjKGoZx6ydseW2hDyFZpvJYowNY7QiKX
RwqUB2MGnj3FabKrILteJpPh0Jz6HxyApNWIgACA2TjJcSGmMG/LbWOPT4OOGb+56YuB1eXsd8Wf
PEkehVr3RdJu0LjnmyBG2JMwNBYxbsMlKMNVnafFGjI90F7iMI1ePxli4Tlg1puiEQQGa05OxJfu
ieE4nmT1aDQGqvQFdowmJ6iuslsdGMSEkAeN5yxg32uIE54kYgI1bGSbzVSTh/XeM/QV/GoTEBRb
j34ZMTQC5ZLPb9milq1AdLCm1Fk2fd7j7WyaX26bs4JwNfFByBoThleRDhQKeHZekTZ47/HT4aMB
CVjS2jyk7+Yi7V1iwXVwTLR66OFRgO5i8qI2w5L+oiktTkxc3sPRWejHYL5IhV0xwCKeziOcJ2up
1wY+IHRbE5MngJMVkqI9TEJK+1gbPERTjpLJfET6niNr1A7TyNkaWWk0JQOFMtgvCpzAYINrr2Fe
XP794k3CwlLSwiWTAdFM3UQiE4qjlTJDEYFImTBNEjwGdYn2A/JtoU+emy57RdMddVn+EJpkr3lD
89AYeQ2KFqltkwPWIV8S03VyyTAWnHHRRtDTxj27v895YjMiup29NIg8iIzkefeo/fwGcOK3WLJk
DcYC41+qNkQVu3CcBMFjlQa12LWvzjgla2UaSILN+kq821duWMsKNp9LOqu5TstGnjKeSvulXH4b
RhvyUAIUnnNDnpzgrnXr9Vvbe+pTaAIGuBiGU9DX462lpwsFD/wJmkAgSuhQIfe11zfkh4oOEDOM
jg1Zb816IiSEoq78LgeXsqcIPxxc1tss0OAefcWn1vzBiVjcSrN4s3Buo6isn94zhHP0/iRqyhqz
qwf45hBb3m8bwWdkVxLVAWKf9bRw/4wi4wwWzs1h3LaOxwTQohiPvo6MEoOnEMMXGHFn37voPdpU
P2adPZ700IqjX5QPiIHzAymKCIgJSLlC0XoSY+vsZFffmpIBXfu+jFO7n/Aj7npAkjS/S/ziNehL
R6BGx6ZjZQ8dMOqD0dpVJShetxnU5r4B2HtEQFQJ048O9zvgsz559o2XttcDM3R8T63fPmQxvoeK
fEfsg1JEBF6prZsdG0yRQMmYNAO4E0a+UOE1E/CpccfwUO5czauFYgWdam3wZl81s6cwyZ4apCFr
nbgWY5bu7ClSLbAbnjXa1bXvHUFvPOe97x5U1iO/srOHkeGn6kFzpUgCLmEhv3yui8gkmJ6kAO8N
vauxY2FFKJZThawLrH7PeMvl5mMaHhhe+HBHALb9t+iGdyEr+VwjNt3ls/eHHXVzURWXzn3kAlGn
7L6aAUHFnOqffKbnwOHKbrP90/fULiMRD3MFrJrQgXmPTM8D4NHTKRB2jwr0YUr9aZtqv9sq0/2u
zNo5c/2zJbA9mMDBYy1ZutdTTj+eIOssRzN+qCmJXCyfqcxJdMV5emkC41yoThzaHNmzklA8zCKt
0ExWIkot34+qyaBAHctia/sJiYam3kA4H6jRAHCIcHI2/ZwyxJh1cyqCOjne/1TWy3y2ApfCs5WE
LbbxI26gYDVYQIHTjFIxM11xyBgYrYWzoKxbCEg06d23Ez38tNTTCSkyAS89aB7Mbd9zNtUMuIPk
gLcnjGTKaZlxRHIllfBPB2z/GAQLGQP9MC2NbA/ZychmYPDr8Vy6aAV7ZulngmiR6VQrjzbiXCbN
D40AoYdTqo+LZqWMjusSoJrAM5CCUradfL+EFBpxyXBRiSRewytUO7ISXorRJ/Telh+z6liGjiyN
lZR00qb0HnqJRtrJRqijFVMBViKsgi2xm+dF7DwZwllL6Zlj1994jvXb1aa4Ksm168XhtuxT+0zK
6g6oGOJbENhrN0uvA8oyDhhE461rwzzBEggk3afIgiC7ckyvPpN73q2YyqidbOa/yi1BXk3oKwWZ
gZEahhSAKmjTicnZWpVmAj0F7kimumRv2YxaeoJn0fDc5yhcJLvY5TTX9808/0t2AAM4riXdQ+wz
Tumm5mT72RT5thYbvKuEMYIxmzJr76K63vkBYcmDDfLXGcpVLBy9HRZymZ2FitMrxaZTWb11GfuC
ALw0MaipvqzeCyHOlq0hTtSF2ofxCcl2u1mqRO9mGCF+N2/GKds26G5ia3Af8EG8O4hwc9Zm15G4
rpXfF+bFh4USo7ZzRFg8qnle444zGZ4ycGyNZmWCUYVsr7/rMA33cgj3lZnNh0ZhhZGGB3Kj805F
Nv+di2l5liwIynH5I2zfeXWy9G+TmntR18vFrSja6mV69HkiH5C4bjHtlSd05ffJoUGYK7eJ75b+
3tvCoikT8WBL6MX36q2gOD+1jARV67WHpLf1cQpwsjXqzmlEg3TpCHRd2X4LN586iv0G5UTRuzSM
MwaGyb1ONoRf9vDww2P4g7mD09cNDwLULsk3cFYTFiSd2d2RFmralukTa7MCgGX6Dscpx3jMWqH6
F9Gk/ii7l7hOiCJ1e2Or/DZqzERBPsNNRVRkcM0RfQpBvF/JAmpTdsm0VyWj4P/C3Jk1t21tWfiv
pPqp+wEqHMyo6puqFmeRFClKsmS9oGiJxjzP+PX9QZZyLSc314lc3X5JxZYMkiBwsM/ea32LASoQ
k7A7GGXJ87y5q1Gi3yt1TChuVaMeF/Gt6VXQyiSyI3NEKEtJ/VRlfTfvZRYDc+xPQnVYRgHrQaVy
kXnxRW/06iawq8+NFqGM0ix3YZjjfsopm6VMbT1pWXQ10au72IfLWWbexJdh0ONjnjB18Fam8MPz
LCNcug4qfYb/5JRWZPC0YyA6098tA5MVyvmjLiCSV7Usnz9fsGXIZMk0DwTE5dNOHVdjrjHPXekJ
0Puyse255TNe7Wmo9Z60ZkepX7qGxSQ4PfR9pJy3wxWDzg9DqnzC07MuF6latPM025Q0IjkJt6lm
7zpZEERCux5nGUHtyhyOFs50h9FIZrGPwneEznFiYD2v/PQa/hqo3HE25lmPfe9/UqphDESJ2Z/n
n1Nva2ls2Oyx0AkbrWWZrko2e4ZzrkmRNWpFCyguoL2iiKEYguNcwfEceQHbC5Pl15MpW8EHxktK
0FMioVL0ggzIbFhcW7UTsNee5lVWcQGLJaksuPgl+1hgs587IFyeYS49Qv5SQy9vYDMhJihZFV0u
7XupuDFNDQMYbSKwmf7Kq4h26aNiI5KLAN34GuImpT3DcPQt4PIGwjyYJJXowX2ZiG/Oummso6TY
1U4OFEBPNr7o9zJSEh4GlviUhHa5APtTF2Cdc8KpHYYQ0w76F08Y3ZkgujQvVKGj5A+MpW8MhIkU
OcuVAkJ3iGhEe0wfneZDH+mM1n3iKGxT6tc4l5RFD/SaFqA2bN1eT+e1VfhXXZ6xC9PMmiaILs9j
bhkz9dSPdqJMZcdL72WnZviyLCW3/lgb5rYpbIt0CqCfiM+WaaoeScBgkiF8B7w2kmnVreZDyyyh
7YEqtwEahNZjpKQBceQzdLsK3sG1U6YXoiJIgCScFNsbeKeRskpLABed1R7lBKRT04NSymGyRsBZ
FSCt7UhrzUZua4U/KpA+6+BcBYb5FQlAIWnuDLcroK8B8FciTtv5AA7WH7mwMVyxjXzXUhJa+B7a
zM1mAwtUI1BVFSNblpnXRy2rW2b3RUFmgXpNfT1PRyJtM7JpY6DCE1VLllJm76OH3oNhqwGztUZ9
jwfcdqTcoo6n3QYoyxsJuNbIwm0NfHa9/dhJGiD8kZdbRdqildgsjSTd3gs3UkKe+sjYBUNFpo+O
MAv6rjE80g5b6B2wx5CVOrPRPWgAe6G17chkN5wiWugAfesasq8C4rcG9duPzF8x0n8JAyYRwL/O
sjEXCkBw6DJOldzgolfKa7LRrw2tmxYJmj8LlSlTUFwc/swYqcPhgLeYocvEAkhcjmRiOOMK9U7b
guVsr0pKTKXGXZY/s71GtrFa2/taSHcJ0GMP+DFcKnCcIw/ZBK4x8pGdEZTcQUyOxpwtdlynllkQ
9hbjMSYxO/MeGqNZ64O+xpp9IdndJ3ukMZNLTEBZfB2wDKJmTc7lkdw8NOz7xzfvwa4gHo11x26v
jZH3jBuB9iYIaIHcb1PFUKGtkQ+tjqRomKNwVEZ6tDFypPHrLZmgVnsNbNIiZTKAgAJiDrCReAY3
t9xUZMv6taot6Ieh8RX1uqHbuZA15WBrmwGqzmWbN6d2ZFwbAtq1PnKvydAg4oWxvEQXAumFot7X
srZiSiau/fLGwgN45cDcUtQyv9aIL0+wkW5HQfNuTHELMUwhbSHmesRym73iE/4FP4KvZnChdisj
v7tTa/1SRr5w0+bRhJbqrQvsWx6p3+imjx767JEGXjChJr52jUJUycCWpNUaYceDMBRtKemFepF7
6cFCSjgtChhtterIl9g1LoyRQ+6gQe2gf2CI0AHoWdhFYJZHI708HTnmAr8IWPNB1eNrFdB5DKAU
88NYGdIQJNTI3pgeXHT2MAnCC9yZXmV8kEd6uquBznFSU5toHUEEtATRWo68dZ7LzSIeGezlSGNX
9BrXBs0ZgOiY3zHDLp3eP0g9FHdl5Ln3I9ldi7xknvOBLwRKe2Xkv2sjCd4bmfBRDB1eKkdOvGns
kpEcX2agYTXJOvVx2ZIWlMOXH0nzmPY21PHWRQwPc9MEzrYkhh1lD/s9t1U0WrgR5Qu6lR37GC+i
IxHlev3JiKRZC5GI4egtxGYcNI4AaEeX9jxtKgDpIyM/bqDlF2Dz4eVmuwymVd11yj5RQoZkMhkd
umrqD3r+KOEEPFeeSfzPUP5k5POXgPodpDi8SJGsOheYkUYn3jEZ9SU84+7sxKEw9V0qJjrtc8Mv
7Fv2sKask15VKA4gU/xXaVhjNGaMN20Qem8wlPJ5QoKWAQ5gPtSCK/IH5Js8qMiywEoAYHjTdp23
r/qY8j307oJopjuDt+uLzNsBXakX4Bz2qSabKFj4LqIQERn4xvJ6JHzgfYjGkleIiagZxrhZjXNS
FPlFH0bqRJHUhPOIUKHM+mFlMK2e1bQTp3kt68tGVghqSUW3ZZBxlTd9sq3JMcuAD4Df4V0SWH6h
OS6acVVehkl2p4rA24gBo2+InupCZ7ZKj3DOZZtzLzMcRL5kLlSz8S7j5KnmCe4mrrplk4P0OG8N
RsFKCkopfPlPV1a4/MadUlWriyZTvG3jLP3EWcnoGLDySBdF0pRXg7GMFF3ePv/HzPsJ1ihlTajB
JA58B8vXtdERK+jrMUtos/KMNl6hw+rvx82K6bXskwwEoSqk/cZon7wIh0GyIjK82bPWgXALootG
yvBisTu+hQoMTssukGj0MsgiS2IqBdwsBT23bGt3HcqxveHuTRiGEnEdRkRNQWbDpBaXlwlxeuwD
G4GrRkxV4j9vKTjS/SC0dWlSP9vonac5QvfzUo063GKgNtmp1SsyuVxKPZZtunzDLFF6LNG599FD
rLzJML8sdFnE89TJPw412qx+8MJtx7AtkIzkpmkxucptd2GbRbKxyiiYl5hsWckaxGTh0WyrbteS
/XbXTO/bcp8mbnwhNdIMgRjcbRqVZL3Hu7jlQilVQkcCcY1t1b618xAzueQ8Yr2YVH3iPqKUuZVb
M7rthEkQRUw5jon6jjiSY5ky+Ke3TfwxjecyDpJdWJKXISEsmqqxhFxERg2gu8LZAINuDyiI4MF5
mNYblxz3qkURSN9Bpx0WwFqT8miKy6a6BExF9dKp0q5mMDORuZ4v6jxAkd9Ie0iozsKmyKgMf6Ep
bQCSvZLu3Ybyv3PB/qSOWJeZhb+4scrLIUPKCONfW9oxmzxPVbFuFeioB0eZGxC86RGWF2WHVySr
zHUizHnRtvQaGuUhxKrbVmKC9mBp50ZN5zdjuqhVo3crRlwSsGqPA1frMquSz32YzGOrxBRnJo+U
h/sq72C4wwwgWdYGgse+lI5nuIAAfGT2RymueQdtnLxbHeEx+ijllFRMFDjYQDOWSxlUrhd/wqN5
bgfMs/tixySIkB6XEOuyUaUbbFU1J9JraUDcR5kXbYLU3mshSurWXAlhqR9Lg9lfI1dQ5K1uLYmk
33FRxzOM6z5yEnSaHroqt4u+oCv+z+TRQEwe06wvfKzJvy5O6eUxPpX//UY0/evbP5Zf/uye0umx
Or75w4xpOD3++lT0h1NJf+MVajP+5vf+8JfT81Fu+uz0j/84PsV+MvXLqvAfq68BPSTBqrJijMQG
g/+B6AQ65F+rqTfHJyA///YAL6Jq+UzFoqEaaBSf5dNQR15YP8qZDmrHgKeh8T8KgucELxjaadU8
k01LaAirLb5vgnt/k1WrCkps09IEMw6bWDXN/CuyaoEK+Y2sWuJJamoGV9U3vBUtqsjUCitvGbU8
fWvePU29JFKBWJWkAufC4OE0EOGzhysFbYbf3vWy1F/QffZJlPDIO8FVU03UPrN5fiQWWxoWwHLD
1j5+yrABUKpqXbLkgm2Y8WLgPslQMe/iLCiv0PxoZCsHMXe9akKmZ9/IWGWcgLgUnEXVBudCh8TP
VD0GG83OXKceVyDElg6B1h0i0OVQkG9hGsSXsiRUrPxhK596zy+XQNsa7ZINalJOvV4FO+IPQTWP
M62taIn2nT330LCMtpIEtl2diSC/EGZgHMzEztl76XRZOtzsjBQ6QVtBlkI00ylbbqo3gbzNCVJ3
ZydttjF1N3wqIFFGc9vThmyqanRjp6gjYm9ih5V5wOxCD08HZfIY6BLPgCDmGc4O4DZzYfDllq9c
xxSfNxotzivJTNw9rrsEWQi+8JLh/oRRHToZuYPM6ke9vTRbLfjcp3o+Cz2HnYAA3z1v6iIm21Gp
vUe5joj4lZ0qUuaRYjSMH+iDrREsqZ8TC71mEIWEKKehxoi4jVnGLEnKH5WwlO9jt6ZKTNt43LVF
9vABcKl7m6EuhisOwO6Kj+9fFW2Tf2wlwGgT3xcF9LIS8UPgNu2t1wMmKpEirMhl8UahoynfWrUg
cNU28j6ctblS3fcOY9yAoM9FFtfR1JIbfY5qoVujKSz3kWf5BdZV9PhTTxXSB9pe1SZIvAL3WJFV
C0OJyR1odaRPfYkoHFN56n+0KeY/eukwQiKYo0591bOovVTnjiiyDixTyjauxJglzq1KstCF1taW
ibBBpztvKOD0JOwh+Qpq4EsDZ/Guj0iC4MEKLRJ5bEF4nm+Ukrxuh9GJFfdQbGdBk0gjRnEwT1rR
0T1x4LuChYwDPVsYuULUu2THI81SL7KHIcnTdYiVd2nEfpfslLZD1Vwq6Kk4VVFMCLOlZyR5qbYD
7EF22Svj8+bdliwlcDQsZcjPO84nPWAbhu15XKrOZ6i2MKBI4HFOzN6zyyHyQStYgeoa2xxVaUn/
WLaCZeaZ3S2EA5Xrq08CdFpZfYrYrHULz/Pp/dle4pyLqKsbhP5u0i69eEx00kHqXArJT0PsdLXN
jtWJUUcTBHS0A8lmKwcBtNEECBGMnNA1B3szhGi/coXxmYhMZ96oGUxaN6Sx2ckeIzJ9AG6jmi0p
QvC9MVGhk0MOPAka7dGXY2RL+d7rwAh4qW7MUrtLL30r77eY4l38H/2RD4Poqo8z90lyxHMPLJrm
8HHnTJgghsuVhpSM9xSJaK8mSkYHQEMAKkxi/dTGe3BNpVqkpI8Ba0SwUGDYRYaLyQ+g0QSCeoSw
HChkVdY5wJYG0i1hD+eiysNZLIcEu4Bqz5Cp73SN7mDolQbqfkMB9ZzumOSPEJP2Y6gi03e8TJun
PgL8XkFkrmQa6VDDFtPT0vLCdIJ1j6mS0RCxoHfhiZIO0VVYLLzxHjVLH28mm+EJOOoD1FjEB1ZX
bmJkjROVLA+0FsZeVclnEUa1U8DNrtlCIspNdFKXrVRPGQF75bYUoTLVFAN8Aylyq9jIu0Xmleqs
xUMLx79N150KlLQYhLpKlVij0oFzMnNj/XNdDreFinwibDvGB9pOWOj7a+1iGGFDRo80x7f2rV9v
ELgvpISoqICSqQI6UKPryXrrykSIgwDTPe+U7L6wvSf6A5cGXJfeIhu908WyK72LxvFuGltiddBw
rwb3iI3mjg5yguod8Zpv3yuesm2sJJ/p3ECV1V0JGo+4UZYC54LTnmetvyzwvYQ416ZlJNuLhCFI
IKuLPGdxtUDa1eYhz+37to/nlLsPoUmpye1I2kbxgX7JdgwwcBG4crufO1j8yJducaomIcHI/rQQ
B8f4kIHDqTuAYmECgU0VtCiMJxFufSNHaIzJI6uri5ITS7Oa4Bvpgt0ibuuWmVdj8XzVxFpPhykb
+JnkeuESDQ3Zi579gMloTE24103ITLLk7vxYnlkYgr2MmKYQJOdl3K9dgqqlQpkQ4sMobBfa1j1A
6IocnwfFKXuwLbA8CsZbBx7RV2mRHIo2X0KjAsxux3gHWgivkUn4MTrPc8cj5wkswLlD74paoP6M
sutGIKHu9IfIHMNYC9IGaE2zsVUYBCCNETsTDvq5kfH54gF/BwYpHA1xOu6Hx6c5Tl+arCJaW3qB
Q6dqpamaAzpgZgF2vQjlGeGkTLAsh40o5oRHw5NBjAGDmFg92gr0hfWWnFRy49uIaF/DTVemLD2x
7jRLXSK1RGps95xv71PC5gg7eT3rdLnPz8M2y+5L5OKISTQbY0mllfVRqeQeeVQlbWuTiBq71DFI
MbwLHsqs6D4NQ0p9DwhmoXNuLkh570hsT/K7xlbgueAjalZuWif3aeqZtPcydiRtVF9XJHkxgq7I
WVEt4XtsNIS7NgRzdYogK3gIfE2mmWsXIyOriu4SxnM3IhwCPgBwAvTR+OpxoitlpU98dYC1rRWV
Ek25YLxiaZbEmjLzR1oMvCh/rLMcla4p6vY+CHs5WamyKBASY4fDois6G7CJF6PnsNqmPTlRkH6K
dNW4qejt13wNKfek1RTlnUi17F7P2xbJrdKHTwAHYhKEArM45GRpF2gae+l+sF2nnnfj4wzrYLBi
9xmEhwFuuX/lCcQhExJqM2jCo+QCyCOARxwSaXpwhWf1t0Es92zS5L5UdxnTsS3dLP0jJq+ImLwi
ROyJLX/rpWH5sfNc73OuxNnWcuz0UA99COktNqeuIljGAX9ZCzBEgTeJgATOnJ6+48RNTH+pJXQW
UczYhPnIgcLMjc5nrk1l0w7zZWCl/ryzfQ0VXq6CCuF9FbBQ0Hde0/vORsMeSY1pwWtG9NuBCahL
OVO9hVZI48DNNE49y9tntUvEBssE+NjAUksXyqM9XFRy0N7Ghea6yLaa/Ap5PF7iom70dlErQt8Y
Lr3xCQ/9mFFI0lHrOJmeQuzpLJmoAHTGq6GqcLGI1pWv1NJQ7izo0JQSLdGqgF89f+8To/pAvBbt
wUbTB3S7uUXXxOLmIG9b/myHVgkVGF9egkGPwYDi4UDynEVY1/1Dn3n6wXYLukpcS8ZKJerg3nfR
Zk5ahrO7zDWGFQQ7oPQYQcN90ST6XOEGPpIglRxokBcFeWoBS7+LxuBcqI1/6M3WQ7gvOdJJdC6S
PbqPErvuzhKQ5vpG3RXCrHaV1mQfaQLlwOmVMNsOfBHr2qutnO5lk+wSv1SuSroUpOcqbnNt6L17
rcWRdWitHqgaKiu+VOGXe0Yv3ZJxGCEVEqEi5N/UgURGaMYi1rKdRODpL9oaSTnwFu9eVFyFyACU
+qGnicWWhRE6oybjUfiVLs86TZdPTYhxqPRC+ypXyvKxg122NyqynCVRshcIh6Lk+UJ8VSfQmbmG
7hP2BByqV4biFpKF+YC1MOhpC0fdLVlR3DV6G7snx8u9XexITEHrzIwncYRVIxktB21W0SKtQKJ+
hInMQtLk1rWkqY2M0sBxP8ZZr3HDZhCgoFBJD1Kc+815KtXpZWYHxsKzMnPHbBmDJ6SVaYRSgxXb
141L0y37T4g5UYlYiAx03r2O370prOrG7ts4R6FOVT3FWG8p55znHrlqAS2719sPg2YYczNP4qOt
GPboO4u6Q810/IOuJuaBKUZCjneuugvbVdqNcF08sabvFFd+oTIDrUuF8lzUtQCpk3Z4YbPaK/wL
M+CdL2qmS86q6W23ByRvdfS2ese8CaW6vg5BNFcgOxIqHLca0gvVNCnAmEUX8KHoj1/7rsnSlmo0
JacN9ARvYjGBUCe1khv2xCH47WNb+QUzpsYeiomsOd0F3ng1xTNleKtSJPaAqM6vji4FMBNe3RIH
JCA57Dmr1kjH0TPwFBarEz2e/NAi1HgAUtMeFNUvuZp0b6OFaqrhPcmRa5R6mWAN0VtIayaQBcbk
VH/XcVgr7lHPUJRNhcRGfm/RJCLrr8EOaEbkFxGBAz0XOQJQnWnaRBXSRb+kTgp6HwJa2wwFBsGy
HBakd5I/4IWW/7ml9ashhWqc27qulU8F2V2nhn9WLbvCT4pFwYydNR/mLRz5IMhmvuRF24rR0qas
7P5Wyo1CB4fSdvtknJOsK7mUt2pqMezWOqHMKPIVxu5G6Rxt9mcHOSEuZsYmw5YmBbuhaNZlBmVe
6WrhDNRjM4p++EDkFeSwWIQG3Qg4JHnIRNGkR2S+mbIPGjeahYrX39YROizSW9GUJ1mKP1FGJEFW
cEH54mCJ2I9m4xk5J7kz7Y3SFJMCGaE0icpeZ2ruVoW3yYch5/r1Nd6GoBD9QELiUIBpyLvLFPDJ
IRwUFmBYPPDrlKhDUz4o7S5nNkDnDzXKsXcLCFBG7VzYYYFOJ4HbRd2D1CiCp4QCETH2hyYt+H2q
N29f6g5AVUeKzW4rYH3dNFKD/lX3mIZCdGGQtKhUjpZy5T32kV2TbqUJ98BTEImYSqW6DtihzYRW
WU8EhOcbYHY1A6siPcZDUG/kkG42WzC1v0sCNZqTOa9dsFzJ91nWhYjn9NHWO3IB+0Rj18c0D4F/
w9ALwaWPjSisDwZ05rWTuv22UBXasFKTovdkqomGZsDtSa+GUoFB8tpNRD1zSysBkmURm+PzY9z8
5awrw+KBb9k5dlZAr9SLfG1u13J765apeeXi5+7OiSN211FEphHru7PvvUp89GHq7x1RxTTFMcTg
47aKPS0Pa2UYGXTAXlEvUDsrpNuavr5IQ1m5y3Hy5ufod9HM5Sh3VlEuaTu5QUE7MVHpEfDV4OG2
wprMVG71pS+VLqHheKa2oRiycXHVCRBzkyVPG22bcpFOo96SC8Kmh2hFQnNwZ1RhfYLtZ82pfYw9
GBntmseROh8kvb9JS50dj5GCpnQDo7nJpYxcHVZEZaUMSlowIfBBAInAug8oWB4s1Ijc8vTbfUTF
cnxJxJ93odLB2Ddsporz3LJ6vEOGHG51Sa3ZSXjqJcZFmGZOEgS7IspZ9XQ5lpBp1ObKiV004A6y
lmuVIcwHL5DanS25+qMh92QV1b74nJOPMS9swGH49ZCz8R3m6kxqNXGXMQTBhi/LFcaoTKsZ66L2
UV0zu9KR7KyI6vVw4oFLCm1i8yiamHUM2rCWZMIhHB+fGdVLqm+tGJDRkHJmzguePFiUEsXe+3IV
XTsIiG/wGTPG62s8KOeZ12IZC3HOYXZkKpVKzLXI0ETZzzc4xnFh9GAWpnw2zUId96wYfqemng8I
OzvzQ1hj22zC0EoOUae1HwwejxW8sBxqqC8S/SHUuv4LuvgHdLTfdKX/Whv65dX/sA/Nkb6gvMef
7lM/qW7S3zWrv+uX/vxA39fYVkCFq9+0sp/f1HNb/c+OER3pvtdPdM0V4wzghqqolqU+czyAHpOH
7L782FTPLAZbivXKDKGNTev8q3P0r87Cn3/A3/f8f3+cP/sAXxr/qyeg6Kpugch+08//yyfBPhM2
NSvl4HP3HbDz1+fAOFM1WdFkOva6oL3z850DviHF1AB7v+80WGcGQwyLYsMSz3OLt+fBPBOCkcT/
70l4ZP9djUMj10+Tr6c0QnznvfDNEb66F5i+6ALcuY4mwWaawnX19XVgn6kGanjODMwNohoYtvxc
94IJLUVRofS87zJQzgw4bkRCGabOoGq83r8+DeJMt3klS1ZkEhGYbf1sp4HoBPW99wKJHMwLARsx
olNUoje+OQnmGdNERaiGpcFFgqn0050E3t23c86/ui4K7cwUsmKSZyMMXbHGS+vrK8E4E1wklqEh
qZIV9ee7ITS+vPc+HIR9pukKn9+QmR+bhv3NlcBJGO8FjZuCs2GPaS8/16qgglH88sj6pnb5C2WC
EGey0BVZ0wi2UfjCvzkJ1hkGBkR8msKs+cuL/Uw1AolgKsPj73xAfKMk+OcDQphnWBC45FVNtxQe
Fd+cBftMRhCvWAqgNZ4PY0DET3YpaIb25U39/UuBipGVkf4hZkxShJ7X/68WBUs+Y9UE/8FlMj4c
fr5qCbGGeO/9oIx1MQ8FikIDUYmlc9d/fRJg7ZkK14lscNeof+lK+I775rcdBqjK6Ol5A+Kfyq/E
NP/2F16r898f4KXqfi6tqaje/OIotPly6C/19/jnX9/cLc87g69++LpTeH6dl3/+8gF//9JvXuv1
U73+5dI/Fcfi0euff9C/vM1Rg/SP//if5Mkrjr/si+PTqXwj3aFcHwGI/1om9Ful9KfHL+rk+Ogd
oz96CR7+P+IlyvIYv77T8eSP0p3XP/+hwOm73jmI/WPxepjxsITl8BB/7wlZHov+mBxfD/TVPuzd
R/bjf3mmX+q6977ExTGO61+OydMv62NJsnjxy3+W1bE6/debj6MjwHr9i79//tfHIqFVEL49VV9K
s/d+jjU3RPTNgSG1vv9Nb45h6R2f2tMpez3Y8zdMccPD471ve3t88vo/vlk5/g+45neFz830+kaf
7yWKsx/wZe7rp/rROxVF/+bghirE61/8/SsFf2hw/PR6nOd3DTX/B7zrwzE4Eu1zfLNZfmkdvfe7
vPbD0H+zbI3Pwh/wHd4cMQX+cnl8qr8+Iy+V7Hvf9XOQ4x8t5Rg5xvLovce/O5XVL+enxD1Grwcb
v8+XuuO9R98eWdJZuKrizTX+stV579EXdcDRq6/f929dhXcfO33zjsfjkjn3+lJ//9bh8X+Mj8nz
kn7pP6afjsUvqzJihS9fDz6ef1o6grbG61+94/X+rBygbUTj6IcslP6QFm+LgvHgJjuw93+Gm8LP
6rdX0MvBf8DdOz0+UY6NT9jLo8uXsTw2p8h/fdPjd/H8WrRVXv/u738Z4yuMX/XrkV6OTj90ZEi/
95LdHnHz1m8qKN76ePAfcJq2J5ea8ti/uSteDv8DSsrpiTHx6yn452kZ28TvPS3T3+63qf9mhf7y
7rUf8DycjDm7PlfP23r+S6f7B1w3E887VhUpJ9++wkuc7w/4fr8jMPidG5N/S35/5/FvTtxa7reV
/j+7Ke+9jr7Xa/GnH+OP9pO/jah+v8t8HT390T97u4Uef+MxOh2LX/8XAAD//w==</cx:binary>
              </cx:geoCache>
            </cx:geography>
          </cx:layoutPr>
        </cx:series>
      </cx:plotAreaRegion>
    </cx:plotArea>
    <cx:legend pos="r" align="min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497">
  <cs:axisTitle>
    <cs:lnRef idx="0"/>
    <cs:fillRef idx="0"/>
    <cs:effectRef idx="0"/>
    <cs:fontRef idx="minor">
      <a:schemeClr val="lt1">
        <a:lumMod val="95000"/>
      </a:schemeClr>
    </cs:fontRef>
    <cs:defRPr sz="900"/>
  </cs:axisTitle>
  <cs:categoryAxis>
    <cs:lnRef idx="0"/>
    <cs:fillRef idx="0"/>
    <cs:effectRef idx="0"/>
    <cs:fontRef idx="minor">
      <a:schemeClr val="lt1">
        <a:lumMod val="9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>
      <a:solidFill>
        <a:schemeClr val="dk1"/>
      </a:solidFill>
    </cs:spPr>
    <cs:defRPr sz="1000"/>
  </cs:chartArea>
  <cs:dataLabel>
    <cs:lnRef idx="0"/>
    <cs:fillRef idx="0"/>
    <cs:effectRef idx="0"/>
    <cs:fontRef idx="minor">
      <a:schemeClr val="lt1">
        <a:lumMod val="9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lt1"/>
    </cs:fontRef>
    <cs:spPr>
      <a:solidFill>
        <a:schemeClr val="phClr"/>
      </a:solidFill>
      <a:ln w="3175">
        <a:solidFill>
          <a:schemeClr val="dk1"/>
        </a:solidFill>
      </a:ln>
    </cs:spPr>
  </cs:dataPoint>
  <cs:dataPoint3D>
    <cs:lnRef idx="0"/>
    <cs:fillRef idx="0">
      <cs:styleClr val="auto"/>
    </cs:fillRef>
    <cs:effectRef idx="0"/>
    <cs:fontRef idx="minor">
      <a:schemeClr val="lt1"/>
    </cs:fontRef>
    <cs:spPr>
      <a:solidFill>
        <a:schemeClr val="phClr"/>
      </a:solidFill>
    </cs:spPr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lt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lt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9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3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30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9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9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9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95000"/>
      </a:schemeClr>
    </cs:fontRef>
    <cs:defRPr sz="9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microsoft.com/office/2011/relationships/webextension" Target="../webextensions/webextension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0</xdr:row>
      <xdr:rowOff>38098</xdr:rowOff>
    </xdr:from>
    <xdr:to>
      <xdr:col>16</xdr:col>
      <xdr:colOff>304801</xdr:colOff>
      <xdr:row>18</xdr:row>
      <xdr:rowOff>0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0F2703BF-26A0-4F97-A458-9626D9A9A4A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286125" y="38098"/>
              <a:ext cx="8124826" cy="401002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0</xdr:row>
      <xdr:rowOff>95250</xdr:rowOff>
    </xdr:from>
    <xdr:to>
      <xdr:col>12</xdr:col>
      <xdr:colOff>523875</xdr:colOff>
      <xdr:row>17</xdr:row>
      <xdr:rowOff>52387</xdr:rowOff>
    </xdr:to>
    <mc:AlternateContent xmlns:mc="http://schemas.openxmlformats.org/markup-compatibility/2006">
      <mc:Choice xmlns:we="http://schemas.microsoft.com/office/webextensions/webextension/2010/11" Requires="we">
        <xdr:graphicFrame macro="">
          <xdr:nvGraphicFramePr>
            <xdr:cNvPr id="4" name="Add-in 3" title="People Graph">
              <a:extLst>
                <a:ext uri="{FF2B5EF4-FFF2-40B4-BE49-F238E27FC236}">
                  <a16:creationId xmlns:a16="http://schemas.microsoft.com/office/drawing/2014/main" id="{255FCE1A-42EF-4FFA-B0D9-9F2A1C8F23BD}"/>
                </a:ext>
              </a:extLst>
            </xdr:cNvPr>
            <xdr:cNvGraphicFramePr>
              <a:graphicFrameLocks noGrp="1"/>
            </xdr:cNvGraphicFramePr>
          </xdr:nvGraphicFramePr>
          <xdr:xfrm>
            <a:off x="0" y="0"/>
            <a:ext cx="0" cy="0"/>
          </xdr:xfrm>
          <a:graphic>
            <a:graphicData uri="http://schemas.microsoft.com/office/webextensions/webextension/2010/11">
              <we:webextensionref xmlns:we="http://schemas.microsoft.com/office/webextensions/webextension/2010/11" xmlns:r="http://schemas.openxmlformats.org/officeDocument/2006/relationships" r:id="rId1"/>
            </a:graphicData>
          </a:graphic>
        </xdr:graphicFrame>
      </mc:Choice>
      <mc:Fallback>
        <xdr:pic>
          <xdr:nvPicPr>
            <xdr:cNvPr id="4" name="Add-in 3" title="People Graph">
              <a:extLst>
                <a:ext uri="{FF2B5EF4-FFF2-40B4-BE49-F238E27FC236}">
                  <a16:creationId xmlns:a16="http://schemas.microsoft.com/office/drawing/2014/main" id="{255FCE1A-42EF-4FFA-B0D9-9F2A1C8F23BD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prstGeom prst="rect">
              <a:avLst/>
            </a:prstGeom>
          </xdr:spPr>
        </xdr:pic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412</xdr:row>
      <xdr:rowOff>0</xdr:rowOff>
    </xdr:from>
    <xdr:to>
      <xdr:col>7</xdr:col>
      <xdr:colOff>0</xdr:colOff>
      <xdr:row>412</xdr:row>
      <xdr:rowOff>0</xdr:rowOff>
    </xdr:to>
    <xdr:graphicFrame macro="">
      <xdr:nvGraphicFramePr>
        <xdr:cNvPr id="2" name="Chart 7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1</xdr:row>
      <xdr:rowOff>0</xdr:rowOff>
    </xdr:to>
    <xdr:graphicFrame macro="">
      <xdr:nvGraphicFramePr>
        <xdr:cNvPr id="3" name="Chart 9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Windows User" refreshedDate="41577.406188425928" createdVersion="5" refreshedVersion="5" minRefreshableVersion="3" recordCount="909" xr:uid="{00000000-000A-0000-FFFF-FFFF05000000}">
  <cacheSource type="worksheet">
    <worksheetSource ref="A1:G910" sheet="ApplianceSales"/>
  </cacheSource>
  <cacheFields count="7">
    <cacheField name="Salesperson" numFmtId="0">
      <sharedItems count="12">
        <s v="Levene, Shelley"/>
        <s v="Loman, Willy"/>
        <s v="Babowsky, Bill"/>
        <s v="Tilley, Ernest"/>
        <s v="Moss, Dave"/>
        <s v="Popiel, Ron"/>
        <s v="Pardo, Don"/>
        <s v="Short, Dina"/>
        <s v="Reimers, Ed"/>
        <s v="Furn, Betty"/>
        <s v="Roman, Barb"/>
        <s v="Stout, Mary"/>
      </sharedItems>
    </cacheField>
    <cacheField name="Product" numFmtId="0">
      <sharedItems count="5">
        <s v="Dishwashers"/>
        <s v="Clothes Washers"/>
        <s v="Televisions"/>
        <s v="Dryers"/>
        <s v="Refrigerators"/>
      </sharedItems>
    </cacheField>
    <cacheField name="Region" numFmtId="0">
      <sharedItems count="4">
        <s v="NW"/>
        <s v="SW"/>
        <s v="NE"/>
        <s v="SE"/>
      </sharedItems>
    </cacheField>
    <cacheField name="Customer" numFmtId="0">
      <sharedItems/>
    </cacheField>
    <cacheField name="Date" numFmtId="168">
      <sharedItems containsSemiMixedTypes="0" containsNonDate="0" containsDate="1" containsString="0" minDate="2012-01-02T00:00:00" maxDate="2013-12-27T00:00:00"/>
    </cacheField>
    <cacheField name="Items" numFmtId="165">
      <sharedItems containsSemiMixedTypes="0" containsString="0" containsNumber="1" containsInteger="1" minValue="2" maxValue="21"/>
    </cacheField>
    <cacheField name="Amount" numFmtId="165">
      <sharedItems containsSemiMixedTypes="0" containsString="0" containsNumber="1" containsInteger="1" minValue="336" maxValue="1271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09">
  <r>
    <x v="0"/>
    <x v="0"/>
    <x v="0"/>
    <s v="Kitchen Center"/>
    <d v="2012-12-28T00:00:00"/>
    <n v="9"/>
    <n v="4345"/>
  </r>
  <r>
    <x v="1"/>
    <x v="1"/>
    <x v="1"/>
    <s v="Appliance Mart"/>
    <d v="2013-01-06T00:00:00"/>
    <n v="8"/>
    <n v="4114"/>
  </r>
  <r>
    <x v="2"/>
    <x v="0"/>
    <x v="1"/>
    <s v="ElectroCity"/>
    <d v="2012-02-02T00:00:00"/>
    <n v="16"/>
    <n v="9537"/>
  </r>
  <r>
    <x v="3"/>
    <x v="2"/>
    <x v="2"/>
    <s v="Kitchen Center"/>
    <d v="2013-03-27T00:00:00"/>
    <n v="14"/>
    <n v="5077"/>
  </r>
  <r>
    <x v="4"/>
    <x v="3"/>
    <x v="2"/>
    <s v="Kitchen Center"/>
    <d v="2012-08-30T00:00:00"/>
    <n v="13"/>
    <n v="6919"/>
  </r>
  <r>
    <x v="5"/>
    <x v="2"/>
    <x v="1"/>
    <s v="Home Emporium"/>
    <d v="2013-01-14T00:00:00"/>
    <n v="11"/>
    <n v="5236"/>
  </r>
  <r>
    <x v="6"/>
    <x v="1"/>
    <x v="0"/>
    <s v="Home Emporium"/>
    <d v="2013-11-07T00:00:00"/>
    <n v="2"/>
    <n v="479"/>
  </r>
  <r>
    <x v="7"/>
    <x v="4"/>
    <x v="1"/>
    <s v="Appliance Mart"/>
    <d v="2013-10-31T00:00:00"/>
    <n v="2"/>
    <n v="391"/>
  </r>
  <r>
    <x v="0"/>
    <x v="3"/>
    <x v="3"/>
    <s v="Kitchen Center"/>
    <d v="2012-04-12T00:00:00"/>
    <n v="13"/>
    <n v="4763"/>
  </r>
  <r>
    <x v="6"/>
    <x v="1"/>
    <x v="3"/>
    <s v="Appliance Mart"/>
    <d v="2013-04-24T00:00:00"/>
    <n v="9"/>
    <n v="2915"/>
  </r>
  <r>
    <x v="8"/>
    <x v="4"/>
    <x v="3"/>
    <s v="Appliance Mart"/>
    <d v="2013-06-23T00:00:00"/>
    <n v="7"/>
    <n v="3273"/>
  </r>
  <r>
    <x v="1"/>
    <x v="2"/>
    <x v="0"/>
    <s v="Home USA"/>
    <d v="2013-07-31T00:00:00"/>
    <n v="11"/>
    <n v="5863"/>
  </r>
  <r>
    <x v="9"/>
    <x v="2"/>
    <x v="0"/>
    <s v="Home Emporium"/>
    <d v="2013-04-10T00:00:00"/>
    <n v="13"/>
    <n v="7799"/>
  </r>
  <r>
    <x v="9"/>
    <x v="4"/>
    <x v="2"/>
    <s v="Home USA"/>
    <d v="2012-12-28T00:00:00"/>
    <n v="12"/>
    <n v="4598"/>
  </r>
  <r>
    <x v="7"/>
    <x v="2"/>
    <x v="3"/>
    <s v="ElectroCity"/>
    <d v="2012-08-17T00:00:00"/>
    <n v="7"/>
    <n v="3168"/>
  </r>
  <r>
    <x v="6"/>
    <x v="3"/>
    <x v="2"/>
    <s v="ElectroCity"/>
    <d v="2013-09-13T00:00:00"/>
    <n v="21"/>
    <n v="9020"/>
  </r>
  <r>
    <x v="10"/>
    <x v="0"/>
    <x v="2"/>
    <s v="Home Emporium"/>
    <d v="2013-01-24T00:00:00"/>
    <n v="16"/>
    <n v="9257"/>
  </r>
  <r>
    <x v="9"/>
    <x v="2"/>
    <x v="3"/>
    <s v="ElectroCity"/>
    <d v="2012-09-29T00:00:00"/>
    <n v="7"/>
    <n v="2145"/>
  </r>
  <r>
    <x v="1"/>
    <x v="3"/>
    <x v="2"/>
    <s v="ElectroCity"/>
    <d v="2013-01-30T00:00:00"/>
    <n v="14"/>
    <n v="6175"/>
  </r>
  <r>
    <x v="11"/>
    <x v="4"/>
    <x v="3"/>
    <s v="Home Emporium"/>
    <d v="2012-08-09T00:00:00"/>
    <n v="4"/>
    <n v="1694"/>
  </r>
  <r>
    <x v="3"/>
    <x v="4"/>
    <x v="3"/>
    <s v="Home Emporium"/>
    <d v="2012-04-28T00:00:00"/>
    <n v="2"/>
    <n v="589"/>
  </r>
  <r>
    <x v="3"/>
    <x v="4"/>
    <x v="2"/>
    <s v="ElectroCity"/>
    <d v="2013-07-26T00:00:00"/>
    <n v="9"/>
    <n v="3858"/>
  </r>
  <r>
    <x v="7"/>
    <x v="2"/>
    <x v="0"/>
    <s v="Home Emporium"/>
    <d v="2013-05-05T00:00:00"/>
    <n v="9"/>
    <n v="5005"/>
  </r>
  <r>
    <x v="0"/>
    <x v="2"/>
    <x v="1"/>
    <s v="Appliance Mart"/>
    <d v="2013-12-01T00:00:00"/>
    <n v="13"/>
    <n v="6072"/>
  </r>
  <r>
    <x v="2"/>
    <x v="1"/>
    <x v="1"/>
    <s v="ElectroCity"/>
    <d v="2012-02-16T00:00:00"/>
    <n v="19"/>
    <n v="11149"/>
  </r>
  <r>
    <x v="5"/>
    <x v="3"/>
    <x v="2"/>
    <s v="Home Emporium"/>
    <d v="2013-09-04T00:00:00"/>
    <n v="7"/>
    <n v="3806"/>
  </r>
  <r>
    <x v="8"/>
    <x v="0"/>
    <x v="3"/>
    <s v="Appliance Mart"/>
    <d v="2013-05-05T00:00:00"/>
    <n v="11"/>
    <n v="3564"/>
  </r>
  <r>
    <x v="5"/>
    <x v="1"/>
    <x v="1"/>
    <s v="Home USA"/>
    <d v="2013-05-22T00:00:00"/>
    <n v="3"/>
    <n v="1276"/>
  </r>
  <r>
    <x v="6"/>
    <x v="0"/>
    <x v="1"/>
    <s v="Home Emporium"/>
    <d v="2012-10-21T00:00:00"/>
    <n v="6"/>
    <n v="1980"/>
  </r>
  <r>
    <x v="7"/>
    <x v="0"/>
    <x v="0"/>
    <s v="ElectroCity"/>
    <d v="2012-05-17T00:00:00"/>
    <n v="19"/>
    <n v="6177"/>
  </r>
  <r>
    <x v="2"/>
    <x v="2"/>
    <x v="0"/>
    <s v="Home Emporium"/>
    <d v="2013-03-09T00:00:00"/>
    <n v="12"/>
    <n v="3922"/>
  </r>
  <r>
    <x v="1"/>
    <x v="2"/>
    <x v="0"/>
    <s v="Home Emporium"/>
    <d v="2012-06-22T00:00:00"/>
    <n v="7"/>
    <n v="3295"/>
  </r>
  <r>
    <x v="8"/>
    <x v="3"/>
    <x v="3"/>
    <s v="Home USA"/>
    <d v="2012-05-16T00:00:00"/>
    <n v="12"/>
    <n v="3801"/>
  </r>
  <r>
    <x v="9"/>
    <x v="1"/>
    <x v="0"/>
    <s v="Kitchen Center"/>
    <d v="2013-02-18T00:00:00"/>
    <n v="14"/>
    <n v="5121"/>
  </r>
  <r>
    <x v="0"/>
    <x v="3"/>
    <x v="2"/>
    <s v="Kitchen Center"/>
    <d v="2012-04-27T00:00:00"/>
    <n v="13"/>
    <n v="7299"/>
  </r>
  <r>
    <x v="0"/>
    <x v="4"/>
    <x v="3"/>
    <s v="Kitchen Center"/>
    <d v="2012-06-09T00:00:00"/>
    <n v="10"/>
    <n v="3537"/>
  </r>
  <r>
    <x v="5"/>
    <x v="4"/>
    <x v="2"/>
    <s v="Kitchen Center"/>
    <d v="2012-12-06T00:00:00"/>
    <n v="11"/>
    <n v="6545"/>
  </r>
  <r>
    <x v="5"/>
    <x v="3"/>
    <x v="1"/>
    <s v="Appliance Mart"/>
    <d v="2013-01-28T00:00:00"/>
    <n v="5"/>
    <n v="1441"/>
  </r>
  <r>
    <x v="5"/>
    <x v="3"/>
    <x v="2"/>
    <s v="Home USA"/>
    <d v="2012-09-28T00:00:00"/>
    <n v="2"/>
    <n v="468"/>
  </r>
  <r>
    <x v="8"/>
    <x v="3"/>
    <x v="3"/>
    <s v="ElectroCity"/>
    <d v="2013-01-10T00:00:00"/>
    <n v="14"/>
    <n v="4808"/>
  </r>
  <r>
    <x v="2"/>
    <x v="4"/>
    <x v="3"/>
    <s v="ElectroCity"/>
    <d v="2013-03-14T00:00:00"/>
    <n v="19"/>
    <n v="9207"/>
  </r>
  <r>
    <x v="2"/>
    <x v="4"/>
    <x v="1"/>
    <s v="Home Emporium"/>
    <d v="2013-03-30T00:00:00"/>
    <n v="3"/>
    <n v="820"/>
  </r>
  <r>
    <x v="4"/>
    <x v="0"/>
    <x v="1"/>
    <s v="Kitchen Center"/>
    <d v="2012-10-04T00:00:00"/>
    <n v="8"/>
    <n v="2365"/>
  </r>
  <r>
    <x v="1"/>
    <x v="2"/>
    <x v="3"/>
    <s v="Kitchen Center"/>
    <d v="2013-09-19T00:00:00"/>
    <n v="11"/>
    <n v="6281"/>
  </r>
  <r>
    <x v="5"/>
    <x v="4"/>
    <x v="3"/>
    <s v="Home USA"/>
    <d v="2012-07-19T00:00:00"/>
    <n v="14"/>
    <n v="4763"/>
  </r>
  <r>
    <x v="1"/>
    <x v="1"/>
    <x v="2"/>
    <s v="Home Emporium"/>
    <d v="2012-04-26T00:00:00"/>
    <n v="3"/>
    <n v="1298"/>
  </r>
  <r>
    <x v="7"/>
    <x v="2"/>
    <x v="0"/>
    <s v="Kitchen Center"/>
    <d v="2012-08-05T00:00:00"/>
    <n v="3"/>
    <n v="897"/>
  </r>
  <r>
    <x v="5"/>
    <x v="4"/>
    <x v="3"/>
    <s v="Appliance Mart"/>
    <d v="2012-03-03T00:00:00"/>
    <n v="13"/>
    <n v="7535"/>
  </r>
  <r>
    <x v="8"/>
    <x v="1"/>
    <x v="1"/>
    <s v="ElectroCity"/>
    <d v="2013-04-28T00:00:00"/>
    <n v="21"/>
    <n v="9438"/>
  </r>
  <r>
    <x v="8"/>
    <x v="2"/>
    <x v="3"/>
    <s v="Kitchen Center"/>
    <d v="2012-03-23T00:00:00"/>
    <n v="7"/>
    <n v="3889"/>
  </r>
  <r>
    <x v="1"/>
    <x v="4"/>
    <x v="2"/>
    <s v="Home USA"/>
    <d v="2013-07-02T00:00:00"/>
    <n v="11"/>
    <n v="5401"/>
  </r>
  <r>
    <x v="4"/>
    <x v="0"/>
    <x v="3"/>
    <s v="Home Emporium"/>
    <d v="2012-12-29T00:00:00"/>
    <n v="5"/>
    <n v="2541"/>
  </r>
  <r>
    <x v="5"/>
    <x v="4"/>
    <x v="0"/>
    <s v="Kitchen Center"/>
    <d v="2013-07-10T00:00:00"/>
    <n v="4"/>
    <n v="1694"/>
  </r>
  <r>
    <x v="4"/>
    <x v="1"/>
    <x v="3"/>
    <s v="Home Emporium"/>
    <d v="2012-02-07T00:00:00"/>
    <n v="12"/>
    <n v="5044"/>
  </r>
  <r>
    <x v="2"/>
    <x v="2"/>
    <x v="2"/>
    <s v="Kitchen Center"/>
    <d v="2012-06-23T00:00:00"/>
    <n v="16"/>
    <n v="9092"/>
  </r>
  <r>
    <x v="11"/>
    <x v="0"/>
    <x v="3"/>
    <s v="Kitchen Center"/>
    <d v="2013-05-01T00:00:00"/>
    <n v="10"/>
    <n v="3751"/>
  </r>
  <r>
    <x v="2"/>
    <x v="1"/>
    <x v="2"/>
    <s v="ElectroCity"/>
    <d v="2013-06-08T00:00:00"/>
    <n v="12"/>
    <n v="5133"/>
  </r>
  <r>
    <x v="9"/>
    <x v="3"/>
    <x v="1"/>
    <s v="ElectroCity"/>
    <d v="2013-10-03T00:00:00"/>
    <n v="7"/>
    <n v="3366"/>
  </r>
  <r>
    <x v="6"/>
    <x v="1"/>
    <x v="1"/>
    <s v="ElectroCity"/>
    <d v="2013-03-09T00:00:00"/>
    <n v="10"/>
    <n v="5470"/>
  </r>
  <r>
    <x v="7"/>
    <x v="1"/>
    <x v="1"/>
    <s v="ElectroCity"/>
    <d v="2013-01-20T00:00:00"/>
    <n v="16"/>
    <n v="5099"/>
  </r>
  <r>
    <x v="3"/>
    <x v="2"/>
    <x v="0"/>
    <s v="ElectroCity"/>
    <d v="2013-12-18T00:00:00"/>
    <n v="21"/>
    <n v="10362"/>
  </r>
  <r>
    <x v="1"/>
    <x v="0"/>
    <x v="2"/>
    <s v="Appliance Mart"/>
    <d v="2013-11-29T00:00:00"/>
    <n v="10"/>
    <n v="3405"/>
  </r>
  <r>
    <x v="10"/>
    <x v="0"/>
    <x v="2"/>
    <s v="Home Emporium"/>
    <d v="2013-06-14T00:00:00"/>
    <n v="2"/>
    <n v="490"/>
  </r>
  <r>
    <x v="11"/>
    <x v="3"/>
    <x v="2"/>
    <s v="ElectroCity"/>
    <d v="2012-11-08T00:00:00"/>
    <n v="12"/>
    <n v="6030"/>
  </r>
  <r>
    <x v="6"/>
    <x v="3"/>
    <x v="3"/>
    <s v="Home Emporium"/>
    <d v="2013-04-18T00:00:00"/>
    <n v="13"/>
    <n v="7035"/>
  </r>
  <r>
    <x v="4"/>
    <x v="4"/>
    <x v="2"/>
    <s v="ElectroCity"/>
    <d v="2013-01-14T00:00:00"/>
    <n v="9"/>
    <n v="3242"/>
  </r>
  <r>
    <x v="11"/>
    <x v="1"/>
    <x v="2"/>
    <s v="Home USA"/>
    <d v="2013-10-23T00:00:00"/>
    <n v="6"/>
    <n v="2118"/>
  </r>
  <r>
    <x v="9"/>
    <x v="0"/>
    <x v="1"/>
    <s v="ElectroCity"/>
    <d v="2012-01-13T00:00:00"/>
    <n v="15"/>
    <n v="9222"/>
  </r>
  <r>
    <x v="7"/>
    <x v="2"/>
    <x v="0"/>
    <s v="ElectroCity"/>
    <d v="2012-01-25T00:00:00"/>
    <n v="9"/>
    <n v="2860"/>
  </r>
  <r>
    <x v="2"/>
    <x v="4"/>
    <x v="1"/>
    <s v="ElectroCity"/>
    <d v="2012-04-21T00:00:00"/>
    <n v="11"/>
    <n v="6578"/>
  </r>
  <r>
    <x v="9"/>
    <x v="1"/>
    <x v="2"/>
    <s v="Home Emporium"/>
    <d v="2012-03-09T00:00:00"/>
    <n v="9"/>
    <n v="2712"/>
  </r>
  <r>
    <x v="9"/>
    <x v="4"/>
    <x v="3"/>
    <s v="Home USA"/>
    <d v="2013-04-25T00:00:00"/>
    <n v="7"/>
    <n v="2569"/>
  </r>
  <r>
    <x v="2"/>
    <x v="1"/>
    <x v="2"/>
    <s v="Appliance Mart"/>
    <d v="2012-02-25T00:00:00"/>
    <n v="10"/>
    <n v="3091"/>
  </r>
  <r>
    <x v="8"/>
    <x v="2"/>
    <x v="0"/>
    <s v="Home USA"/>
    <d v="2012-01-02T00:00:00"/>
    <n v="3"/>
    <n v="875"/>
  </r>
  <r>
    <x v="1"/>
    <x v="0"/>
    <x v="3"/>
    <s v="Home USA"/>
    <d v="2012-05-31T00:00:00"/>
    <n v="3"/>
    <n v="858"/>
  </r>
  <r>
    <x v="6"/>
    <x v="0"/>
    <x v="1"/>
    <s v="ElectroCity"/>
    <d v="2012-05-24T00:00:00"/>
    <n v="15"/>
    <n v="8359"/>
  </r>
  <r>
    <x v="9"/>
    <x v="1"/>
    <x v="2"/>
    <s v="Home Emporium"/>
    <d v="2012-07-19T00:00:00"/>
    <n v="16"/>
    <n v="9158"/>
  </r>
  <r>
    <x v="4"/>
    <x v="3"/>
    <x v="1"/>
    <s v="Kitchen Center"/>
    <d v="2013-11-03T00:00:00"/>
    <n v="10"/>
    <n v="5632"/>
  </r>
  <r>
    <x v="7"/>
    <x v="0"/>
    <x v="1"/>
    <s v="ElectroCity"/>
    <d v="2013-07-05T00:00:00"/>
    <n v="10"/>
    <n v="3020"/>
  </r>
  <r>
    <x v="10"/>
    <x v="0"/>
    <x v="1"/>
    <s v="Home USA"/>
    <d v="2013-12-26T00:00:00"/>
    <n v="15"/>
    <n v="5049"/>
  </r>
  <r>
    <x v="1"/>
    <x v="4"/>
    <x v="0"/>
    <s v="Kitchen Center"/>
    <d v="2013-05-22T00:00:00"/>
    <n v="3"/>
    <n v="704"/>
  </r>
  <r>
    <x v="4"/>
    <x v="0"/>
    <x v="1"/>
    <s v="Home USA"/>
    <d v="2013-09-25T00:00:00"/>
    <n v="4"/>
    <n v="1293"/>
  </r>
  <r>
    <x v="5"/>
    <x v="0"/>
    <x v="2"/>
    <s v="ElectroCity"/>
    <d v="2013-06-07T00:00:00"/>
    <n v="9"/>
    <n v="3520"/>
  </r>
  <r>
    <x v="8"/>
    <x v="4"/>
    <x v="2"/>
    <s v="Home USA"/>
    <d v="2012-07-27T00:00:00"/>
    <n v="11"/>
    <n v="4455"/>
  </r>
  <r>
    <x v="0"/>
    <x v="1"/>
    <x v="3"/>
    <s v="Home Emporium"/>
    <d v="2012-08-18T00:00:00"/>
    <n v="14"/>
    <n v="4846"/>
  </r>
  <r>
    <x v="6"/>
    <x v="0"/>
    <x v="0"/>
    <s v="ElectroCity"/>
    <d v="2012-11-08T00:00:00"/>
    <n v="17"/>
    <n v="9648"/>
  </r>
  <r>
    <x v="7"/>
    <x v="2"/>
    <x v="2"/>
    <s v="Appliance Mart"/>
    <d v="2013-06-04T00:00:00"/>
    <n v="8"/>
    <n v="3218"/>
  </r>
  <r>
    <x v="6"/>
    <x v="3"/>
    <x v="3"/>
    <s v="Kitchen Center"/>
    <d v="2012-12-26T00:00:00"/>
    <n v="4"/>
    <n v="1166"/>
  </r>
  <r>
    <x v="8"/>
    <x v="2"/>
    <x v="2"/>
    <s v="Home Emporium"/>
    <d v="2013-03-22T00:00:00"/>
    <n v="5"/>
    <n v="1524"/>
  </r>
  <r>
    <x v="1"/>
    <x v="3"/>
    <x v="0"/>
    <s v="Kitchen Center"/>
    <d v="2013-09-18T00:00:00"/>
    <n v="7"/>
    <n v="2442"/>
  </r>
  <r>
    <x v="11"/>
    <x v="4"/>
    <x v="0"/>
    <s v="Home USA"/>
    <d v="2012-11-18T00:00:00"/>
    <n v="12"/>
    <n v="6595"/>
  </r>
  <r>
    <x v="5"/>
    <x v="0"/>
    <x v="1"/>
    <s v="Home USA"/>
    <d v="2012-02-05T00:00:00"/>
    <n v="4"/>
    <n v="1826"/>
  </r>
  <r>
    <x v="0"/>
    <x v="1"/>
    <x v="2"/>
    <s v="ElectroCity"/>
    <d v="2012-07-09T00:00:00"/>
    <n v="15"/>
    <n v="7666"/>
  </r>
  <r>
    <x v="6"/>
    <x v="1"/>
    <x v="1"/>
    <s v="ElectroCity"/>
    <d v="2012-02-19T00:00:00"/>
    <n v="18"/>
    <n v="8003"/>
  </r>
  <r>
    <x v="6"/>
    <x v="2"/>
    <x v="2"/>
    <s v="ElectroCity"/>
    <d v="2013-04-07T00:00:00"/>
    <n v="16"/>
    <n v="6287"/>
  </r>
  <r>
    <x v="5"/>
    <x v="0"/>
    <x v="3"/>
    <s v="Appliance Mart"/>
    <d v="2013-10-08T00:00:00"/>
    <n v="5"/>
    <n v="1881"/>
  </r>
  <r>
    <x v="5"/>
    <x v="2"/>
    <x v="0"/>
    <s v="Home USA"/>
    <d v="2012-11-08T00:00:00"/>
    <n v="3"/>
    <n v="979"/>
  </r>
  <r>
    <x v="9"/>
    <x v="2"/>
    <x v="3"/>
    <s v="Kitchen Center"/>
    <d v="2012-11-19T00:00:00"/>
    <n v="16"/>
    <n v="8498"/>
  </r>
  <r>
    <x v="9"/>
    <x v="3"/>
    <x v="2"/>
    <s v="Appliance Mart"/>
    <d v="2013-10-26T00:00:00"/>
    <n v="3"/>
    <n v="1271"/>
  </r>
  <r>
    <x v="3"/>
    <x v="0"/>
    <x v="1"/>
    <s v="ElectroCity"/>
    <d v="2013-08-03T00:00:00"/>
    <n v="17"/>
    <n v="9328"/>
  </r>
  <r>
    <x v="11"/>
    <x v="4"/>
    <x v="2"/>
    <s v="Appliance Mart"/>
    <d v="2013-03-17T00:00:00"/>
    <n v="2"/>
    <n v="369"/>
  </r>
  <r>
    <x v="5"/>
    <x v="2"/>
    <x v="3"/>
    <s v="Appliance Mart"/>
    <d v="2012-12-30T00:00:00"/>
    <n v="3"/>
    <n v="1133"/>
  </r>
  <r>
    <x v="0"/>
    <x v="2"/>
    <x v="2"/>
    <s v="Home USA"/>
    <d v="2012-01-07T00:00:00"/>
    <n v="7"/>
    <n v="3817"/>
  </r>
  <r>
    <x v="8"/>
    <x v="3"/>
    <x v="3"/>
    <s v="ElectroCity"/>
    <d v="2013-09-18T00:00:00"/>
    <n v="21"/>
    <n v="7392"/>
  </r>
  <r>
    <x v="8"/>
    <x v="2"/>
    <x v="3"/>
    <s v="Kitchen Center"/>
    <d v="2012-12-01T00:00:00"/>
    <n v="14"/>
    <n v="6133"/>
  </r>
  <r>
    <x v="11"/>
    <x v="4"/>
    <x v="2"/>
    <s v="Appliance Mart"/>
    <d v="2012-10-04T00:00:00"/>
    <n v="5"/>
    <n v="2558"/>
  </r>
  <r>
    <x v="9"/>
    <x v="1"/>
    <x v="3"/>
    <s v="ElectroCity"/>
    <d v="2012-02-15T00:00:00"/>
    <n v="15"/>
    <n v="5433"/>
  </r>
  <r>
    <x v="7"/>
    <x v="1"/>
    <x v="0"/>
    <s v="Appliance Mart"/>
    <d v="2012-07-16T00:00:00"/>
    <n v="15"/>
    <n v="5280"/>
  </r>
  <r>
    <x v="7"/>
    <x v="2"/>
    <x v="1"/>
    <s v="Home USA"/>
    <d v="2013-07-23T00:00:00"/>
    <n v="15"/>
    <n v="9207"/>
  </r>
  <r>
    <x v="10"/>
    <x v="4"/>
    <x v="2"/>
    <s v="Appliance Mart"/>
    <d v="2013-12-25T00:00:00"/>
    <n v="12"/>
    <n v="6485"/>
  </r>
  <r>
    <x v="3"/>
    <x v="3"/>
    <x v="2"/>
    <s v="Home USA"/>
    <d v="2013-10-20T00:00:00"/>
    <n v="2"/>
    <n v="550"/>
  </r>
  <r>
    <x v="6"/>
    <x v="1"/>
    <x v="3"/>
    <s v="Home Emporium"/>
    <d v="2012-07-01T00:00:00"/>
    <n v="3"/>
    <n v="1007"/>
  </r>
  <r>
    <x v="1"/>
    <x v="2"/>
    <x v="3"/>
    <s v="Kitchen Center"/>
    <d v="2013-09-10T00:00:00"/>
    <n v="14"/>
    <n v="7381"/>
  </r>
  <r>
    <x v="4"/>
    <x v="2"/>
    <x v="3"/>
    <s v="Appliance Mart"/>
    <d v="2013-06-14T00:00:00"/>
    <n v="4"/>
    <n v="1221"/>
  </r>
  <r>
    <x v="5"/>
    <x v="3"/>
    <x v="2"/>
    <s v="Kitchen Center"/>
    <d v="2013-08-10T00:00:00"/>
    <n v="6"/>
    <n v="3042"/>
  </r>
  <r>
    <x v="9"/>
    <x v="2"/>
    <x v="0"/>
    <s v="ElectroCity"/>
    <d v="2012-02-29T00:00:00"/>
    <n v="21"/>
    <n v="7744"/>
  </r>
  <r>
    <x v="6"/>
    <x v="4"/>
    <x v="3"/>
    <s v="Appliance Mart"/>
    <d v="2013-08-04T00:00:00"/>
    <n v="9"/>
    <n v="3751"/>
  </r>
  <r>
    <x v="0"/>
    <x v="0"/>
    <x v="1"/>
    <s v="Kitchen Center"/>
    <d v="2012-10-07T00:00:00"/>
    <n v="13"/>
    <n v="4620"/>
  </r>
  <r>
    <x v="1"/>
    <x v="1"/>
    <x v="1"/>
    <s v="Kitchen Center"/>
    <d v="2012-12-15T00:00:00"/>
    <n v="15"/>
    <n v="5500"/>
  </r>
  <r>
    <x v="0"/>
    <x v="4"/>
    <x v="3"/>
    <s v="Kitchen Center"/>
    <d v="2013-08-07T00:00:00"/>
    <n v="2"/>
    <n v="512"/>
  </r>
  <r>
    <x v="9"/>
    <x v="4"/>
    <x v="2"/>
    <s v="Appliance Mart"/>
    <d v="2012-11-15T00:00:00"/>
    <n v="9"/>
    <n v="4681"/>
  </r>
  <r>
    <x v="5"/>
    <x v="2"/>
    <x v="2"/>
    <s v="Home Emporium"/>
    <d v="2012-12-26T00:00:00"/>
    <n v="7"/>
    <n v="3014"/>
  </r>
  <r>
    <x v="8"/>
    <x v="3"/>
    <x v="0"/>
    <s v="Appliance Mart"/>
    <d v="2012-06-23T00:00:00"/>
    <n v="8"/>
    <n v="3003"/>
  </r>
  <r>
    <x v="10"/>
    <x v="2"/>
    <x v="2"/>
    <s v="ElectroCity"/>
    <d v="2012-07-27T00:00:00"/>
    <n v="13"/>
    <n v="4261"/>
  </r>
  <r>
    <x v="0"/>
    <x v="3"/>
    <x v="3"/>
    <s v="ElectroCity"/>
    <d v="2012-05-30T00:00:00"/>
    <n v="15"/>
    <n v="7238"/>
  </r>
  <r>
    <x v="11"/>
    <x v="4"/>
    <x v="3"/>
    <s v="ElectroCity"/>
    <d v="2012-12-28T00:00:00"/>
    <n v="10"/>
    <n v="3144"/>
  </r>
  <r>
    <x v="2"/>
    <x v="2"/>
    <x v="0"/>
    <s v="Home USA"/>
    <d v="2013-04-05T00:00:00"/>
    <n v="7"/>
    <n v="3289"/>
  </r>
  <r>
    <x v="5"/>
    <x v="1"/>
    <x v="3"/>
    <s v="ElectroCity"/>
    <d v="2012-07-05T00:00:00"/>
    <n v="16"/>
    <n v="8811"/>
  </r>
  <r>
    <x v="0"/>
    <x v="3"/>
    <x v="3"/>
    <s v="Kitchen Center"/>
    <d v="2013-01-07T00:00:00"/>
    <n v="12"/>
    <n v="4862"/>
  </r>
  <r>
    <x v="8"/>
    <x v="4"/>
    <x v="3"/>
    <s v="Kitchen Center"/>
    <d v="2013-07-02T00:00:00"/>
    <n v="16"/>
    <n v="5412"/>
  </r>
  <r>
    <x v="10"/>
    <x v="4"/>
    <x v="3"/>
    <s v="ElectroCity"/>
    <d v="2012-09-29T00:00:00"/>
    <n v="21"/>
    <n v="8338"/>
  </r>
  <r>
    <x v="3"/>
    <x v="2"/>
    <x v="2"/>
    <s v="Home Emporium"/>
    <d v="2012-12-16T00:00:00"/>
    <n v="12"/>
    <n v="3971"/>
  </r>
  <r>
    <x v="6"/>
    <x v="1"/>
    <x v="3"/>
    <s v="Home USA"/>
    <d v="2013-02-16T00:00:00"/>
    <n v="5"/>
    <n v="1821"/>
  </r>
  <r>
    <x v="1"/>
    <x v="4"/>
    <x v="2"/>
    <s v="Home Emporium"/>
    <d v="2012-02-04T00:00:00"/>
    <n v="10"/>
    <n v="3179"/>
  </r>
  <r>
    <x v="2"/>
    <x v="0"/>
    <x v="1"/>
    <s v="ElectroCity"/>
    <d v="2013-05-12T00:00:00"/>
    <n v="12"/>
    <n v="3761"/>
  </r>
  <r>
    <x v="2"/>
    <x v="0"/>
    <x v="2"/>
    <s v="Appliance Mart"/>
    <d v="2013-04-30T00:00:00"/>
    <n v="11"/>
    <n v="4983"/>
  </r>
  <r>
    <x v="4"/>
    <x v="0"/>
    <x v="2"/>
    <s v="ElectroCity"/>
    <d v="2013-03-22T00:00:00"/>
    <n v="19"/>
    <n v="10989"/>
  </r>
  <r>
    <x v="5"/>
    <x v="0"/>
    <x v="3"/>
    <s v="Home USA"/>
    <d v="2013-12-08T00:00:00"/>
    <n v="15"/>
    <n v="4851"/>
  </r>
  <r>
    <x v="4"/>
    <x v="3"/>
    <x v="2"/>
    <s v="Home USA"/>
    <d v="2012-10-18T00:00:00"/>
    <n v="3"/>
    <n v="924"/>
  </r>
  <r>
    <x v="6"/>
    <x v="3"/>
    <x v="3"/>
    <s v="ElectroCity"/>
    <d v="2013-08-08T00:00:00"/>
    <n v="9"/>
    <n v="3974"/>
  </r>
  <r>
    <x v="1"/>
    <x v="1"/>
    <x v="3"/>
    <s v="Kitchen Center"/>
    <d v="2012-06-24T00:00:00"/>
    <n v="16"/>
    <n v="7970"/>
  </r>
  <r>
    <x v="10"/>
    <x v="1"/>
    <x v="2"/>
    <s v="Home USA"/>
    <d v="2012-07-23T00:00:00"/>
    <n v="3"/>
    <n v="1238"/>
  </r>
  <r>
    <x v="5"/>
    <x v="0"/>
    <x v="3"/>
    <s v="Appliance Mart"/>
    <d v="2012-06-11T00:00:00"/>
    <n v="7"/>
    <n v="2574"/>
  </r>
  <r>
    <x v="5"/>
    <x v="4"/>
    <x v="1"/>
    <s v="Kitchen Center"/>
    <d v="2013-09-10T00:00:00"/>
    <n v="16"/>
    <n v="6534"/>
  </r>
  <r>
    <x v="2"/>
    <x v="2"/>
    <x v="2"/>
    <s v="ElectroCity"/>
    <d v="2012-09-29T00:00:00"/>
    <n v="20"/>
    <n v="6434"/>
  </r>
  <r>
    <x v="4"/>
    <x v="4"/>
    <x v="3"/>
    <s v="ElectroCity"/>
    <d v="2012-02-08T00:00:00"/>
    <n v="15"/>
    <n v="5202"/>
  </r>
  <r>
    <x v="5"/>
    <x v="4"/>
    <x v="1"/>
    <s v="Kitchen Center"/>
    <d v="2013-06-20T00:00:00"/>
    <n v="4"/>
    <n v="1529"/>
  </r>
  <r>
    <x v="6"/>
    <x v="2"/>
    <x v="1"/>
    <s v="Appliance Mart"/>
    <d v="2013-02-15T00:00:00"/>
    <n v="8"/>
    <n v="2503"/>
  </r>
  <r>
    <x v="1"/>
    <x v="1"/>
    <x v="0"/>
    <s v="Home Emporium"/>
    <d v="2012-01-28T00:00:00"/>
    <n v="6"/>
    <n v="2547"/>
  </r>
  <r>
    <x v="10"/>
    <x v="2"/>
    <x v="2"/>
    <s v="Home Emporium"/>
    <d v="2013-11-29T00:00:00"/>
    <n v="14"/>
    <n v="7205"/>
  </r>
  <r>
    <x v="11"/>
    <x v="3"/>
    <x v="1"/>
    <s v="Appliance Mart"/>
    <d v="2013-02-07T00:00:00"/>
    <n v="15"/>
    <n v="8349"/>
  </r>
  <r>
    <x v="10"/>
    <x v="0"/>
    <x v="2"/>
    <s v="ElectroCity"/>
    <d v="2013-12-17T00:00:00"/>
    <n v="13"/>
    <n v="4847"/>
  </r>
  <r>
    <x v="7"/>
    <x v="4"/>
    <x v="3"/>
    <s v="Kitchen Center"/>
    <d v="2012-11-24T00:00:00"/>
    <n v="6"/>
    <n v="2811"/>
  </r>
  <r>
    <x v="5"/>
    <x v="1"/>
    <x v="0"/>
    <s v="Appliance Mart"/>
    <d v="2013-06-16T00:00:00"/>
    <n v="13"/>
    <n v="4279"/>
  </r>
  <r>
    <x v="5"/>
    <x v="0"/>
    <x v="1"/>
    <s v="ElectroCity"/>
    <d v="2012-02-02T00:00:00"/>
    <n v="13"/>
    <n v="7685"/>
  </r>
  <r>
    <x v="1"/>
    <x v="3"/>
    <x v="3"/>
    <s v="ElectroCity"/>
    <d v="2012-12-24T00:00:00"/>
    <n v="21"/>
    <n v="7260"/>
  </r>
  <r>
    <x v="11"/>
    <x v="1"/>
    <x v="1"/>
    <s v="Kitchen Center"/>
    <d v="2013-05-26T00:00:00"/>
    <n v="13"/>
    <n v="6743"/>
  </r>
  <r>
    <x v="3"/>
    <x v="3"/>
    <x v="3"/>
    <s v="Home Emporium"/>
    <d v="2012-11-26T00:00:00"/>
    <n v="15"/>
    <n v="7684"/>
  </r>
  <r>
    <x v="3"/>
    <x v="0"/>
    <x v="2"/>
    <s v="Kitchen Center"/>
    <d v="2012-07-13T00:00:00"/>
    <n v="3"/>
    <n v="1243"/>
  </r>
  <r>
    <x v="7"/>
    <x v="1"/>
    <x v="0"/>
    <s v="Home Emporium"/>
    <d v="2013-11-21T00:00:00"/>
    <n v="7"/>
    <n v="3432"/>
  </r>
  <r>
    <x v="3"/>
    <x v="4"/>
    <x v="3"/>
    <s v="Home USA"/>
    <d v="2012-05-11T00:00:00"/>
    <n v="4"/>
    <n v="1859"/>
  </r>
  <r>
    <x v="2"/>
    <x v="0"/>
    <x v="1"/>
    <s v="Home Emporium"/>
    <d v="2012-07-15T00:00:00"/>
    <n v="3"/>
    <n v="765"/>
  </r>
  <r>
    <x v="1"/>
    <x v="0"/>
    <x v="3"/>
    <s v="Home USA"/>
    <d v="2013-04-07T00:00:00"/>
    <n v="5"/>
    <n v="2134"/>
  </r>
  <r>
    <x v="5"/>
    <x v="1"/>
    <x v="3"/>
    <s v="Home USA"/>
    <d v="2013-09-26T00:00:00"/>
    <n v="5"/>
    <n v="1403"/>
  </r>
  <r>
    <x v="10"/>
    <x v="2"/>
    <x v="2"/>
    <s v="Kitchen Center"/>
    <d v="2012-07-20T00:00:00"/>
    <n v="8"/>
    <n v="4521"/>
  </r>
  <r>
    <x v="2"/>
    <x v="0"/>
    <x v="3"/>
    <s v="Home USA"/>
    <d v="2012-12-09T00:00:00"/>
    <n v="2"/>
    <n v="611"/>
  </r>
  <r>
    <x v="3"/>
    <x v="2"/>
    <x v="0"/>
    <s v="Kitchen Center"/>
    <d v="2013-07-13T00:00:00"/>
    <n v="4"/>
    <n v="1617"/>
  </r>
  <r>
    <x v="10"/>
    <x v="3"/>
    <x v="0"/>
    <s v="Home Emporium"/>
    <d v="2013-11-21T00:00:00"/>
    <n v="2"/>
    <n v="550"/>
  </r>
  <r>
    <x v="1"/>
    <x v="3"/>
    <x v="1"/>
    <s v="Home Emporium"/>
    <d v="2012-02-16T00:00:00"/>
    <n v="9"/>
    <n v="4736"/>
  </r>
  <r>
    <x v="9"/>
    <x v="4"/>
    <x v="2"/>
    <s v="Kitchen Center"/>
    <d v="2012-12-30T00:00:00"/>
    <n v="2"/>
    <n v="649"/>
  </r>
  <r>
    <x v="7"/>
    <x v="3"/>
    <x v="0"/>
    <s v="Home USA"/>
    <d v="2013-07-06T00:00:00"/>
    <n v="5"/>
    <n v="1436"/>
  </r>
  <r>
    <x v="5"/>
    <x v="1"/>
    <x v="2"/>
    <s v="Home USA"/>
    <d v="2013-11-19T00:00:00"/>
    <n v="2"/>
    <n v="600"/>
  </r>
  <r>
    <x v="0"/>
    <x v="0"/>
    <x v="1"/>
    <s v="ElectroCity"/>
    <d v="2012-02-02T00:00:00"/>
    <n v="10"/>
    <n v="5569"/>
  </r>
  <r>
    <x v="5"/>
    <x v="0"/>
    <x v="2"/>
    <s v="Home USA"/>
    <d v="2012-02-18T00:00:00"/>
    <n v="3"/>
    <n v="677"/>
  </r>
  <r>
    <x v="0"/>
    <x v="2"/>
    <x v="2"/>
    <s v="Kitchen Center"/>
    <d v="2012-04-05T00:00:00"/>
    <n v="3"/>
    <n v="1045"/>
  </r>
  <r>
    <x v="7"/>
    <x v="0"/>
    <x v="3"/>
    <s v="Appliance Mart"/>
    <d v="2013-07-24T00:00:00"/>
    <n v="10"/>
    <n v="5038"/>
  </r>
  <r>
    <x v="3"/>
    <x v="0"/>
    <x v="0"/>
    <s v="Home USA"/>
    <d v="2013-07-12T00:00:00"/>
    <n v="3"/>
    <n v="748"/>
  </r>
  <r>
    <x v="4"/>
    <x v="4"/>
    <x v="3"/>
    <s v="ElectroCity"/>
    <d v="2012-02-08T00:00:00"/>
    <n v="9"/>
    <n v="2698"/>
  </r>
  <r>
    <x v="4"/>
    <x v="4"/>
    <x v="0"/>
    <s v="Home Emporium"/>
    <d v="2012-09-22T00:00:00"/>
    <n v="4"/>
    <n v="1133"/>
  </r>
  <r>
    <x v="2"/>
    <x v="2"/>
    <x v="0"/>
    <s v="ElectroCity"/>
    <d v="2012-03-19T00:00:00"/>
    <n v="17"/>
    <n v="9152"/>
  </r>
  <r>
    <x v="5"/>
    <x v="3"/>
    <x v="2"/>
    <s v="Home Emporium"/>
    <d v="2012-04-09T00:00:00"/>
    <n v="11"/>
    <n v="6325"/>
  </r>
  <r>
    <x v="4"/>
    <x v="4"/>
    <x v="0"/>
    <s v="Home Emporium"/>
    <d v="2013-07-12T00:00:00"/>
    <n v="13"/>
    <n v="4714"/>
  </r>
  <r>
    <x v="3"/>
    <x v="4"/>
    <x v="3"/>
    <s v="Home Emporium"/>
    <d v="2012-12-21T00:00:00"/>
    <n v="2"/>
    <n v="528"/>
  </r>
  <r>
    <x v="6"/>
    <x v="1"/>
    <x v="3"/>
    <s v="Home Emporium"/>
    <d v="2012-02-15T00:00:00"/>
    <n v="6"/>
    <n v="2563"/>
  </r>
  <r>
    <x v="7"/>
    <x v="3"/>
    <x v="3"/>
    <s v="ElectroCity"/>
    <d v="2013-10-05T00:00:00"/>
    <n v="9"/>
    <n v="3388"/>
  </r>
  <r>
    <x v="6"/>
    <x v="3"/>
    <x v="2"/>
    <s v="ElectroCity"/>
    <d v="2013-01-06T00:00:00"/>
    <n v="17"/>
    <n v="10104"/>
  </r>
  <r>
    <x v="2"/>
    <x v="2"/>
    <x v="1"/>
    <s v="Kitchen Center"/>
    <d v="2013-08-14T00:00:00"/>
    <n v="2"/>
    <n v="369"/>
  </r>
  <r>
    <x v="8"/>
    <x v="0"/>
    <x v="3"/>
    <s v="Kitchen Center"/>
    <d v="2013-08-25T00:00:00"/>
    <n v="8"/>
    <n v="3520"/>
  </r>
  <r>
    <x v="11"/>
    <x v="0"/>
    <x v="3"/>
    <s v="Home USA"/>
    <d v="2012-01-27T00:00:00"/>
    <n v="9"/>
    <n v="3564"/>
  </r>
  <r>
    <x v="3"/>
    <x v="0"/>
    <x v="2"/>
    <s v="Home Emporium"/>
    <d v="2012-06-30T00:00:00"/>
    <n v="15"/>
    <n v="7563"/>
  </r>
  <r>
    <x v="3"/>
    <x v="2"/>
    <x v="3"/>
    <s v="ElectroCity"/>
    <d v="2012-11-29T00:00:00"/>
    <n v="14"/>
    <n v="4308"/>
  </r>
  <r>
    <x v="5"/>
    <x v="1"/>
    <x v="3"/>
    <s v="Home USA"/>
    <d v="2012-01-07T00:00:00"/>
    <n v="3"/>
    <n v="1243"/>
  </r>
  <r>
    <x v="11"/>
    <x v="2"/>
    <x v="1"/>
    <s v="Home USA"/>
    <d v="2013-05-07T00:00:00"/>
    <n v="6"/>
    <n v="3146"/>
  </r>
  <r>
    <x v="7"/>
    <x v="1"/>
    <x v="0"/>
    <s v="ElectroCity"/>
    <d v="2013-04-25T00:00:00"/>
    <n v="12"/>
    <n v="4034"/>
  </r>
  <r>
    <x v="6"/>
    <x v="0"/>
    <x v="1"/>
    <s v="ElectroCity"/>
    <d v="2012-02-02T00:00:00"/>
    <n v="18"/>
    <n v="8641"/>
  </r>
  <r>
    <x v="2"/>
    <x v="0"/>
    <x v="0"/>
    <s v="Home USA"/>
    <d v="2012-07-16T00:00:00"/>
    <n v="14"/>
    <n v="6435"/>
  </r>
  <r>
    <x v="3"/>
    <x v="3"/>
    <x v="0"/>
    <s v="Home USA"/>
    <d v="2013-12-01T00:00:00"/>
    <n v="16"/>
    <n v="9356"/>
  </r>
  <r>
    <x v="6"/>
    <x v="2"/>
    <x v="3"/>
    <s v="Home Emporium"/>
    <d v="2012-08-22T00:00:00"/>
    <n v="9"/>
    <n v="3553"/>
  </r>
  <r>
    <x v="5"/>
    <x v="1"/>
    <x v="0"/>
    <s v="ElectroCity"/>
    <d v="2013-05-19T00:00:00"/>
    <n v="8"/>
    <n v="3754"/>
  </r>
  <r>
    <x v="6"/>
    <x v="3"/>
    <x v="2"/>
    <s v="Kitchen Center"/>
    <d v="2012-11-18T00:00:00"/>
    <n v="4"/>
    <n v="1205"/>
  </r>
  <r>
    <x v="11"/>
    <x v="4"/>
    <x v="0"/>
    <s v="Appliance Mart"/>
    <d v="2013-09-04T00:00:00"/>
    <n v="3"/>
    <n v="946"/>
  </r>
  <r>
    <x v="1"/>
    <x v="0"/>
    <x v="2"/>
    <s v="Home Emporium"/>
    <d v="2013-03-28T00:00:00"/>
    <n v="5"/>
    <n v="1507"/>
  </r>
  <r>
    <x v="10"/>
    <x v="2"/>
    <x v="2"/>
    <s v="Home Emporium"/>
    <d v="2012-04-19T00:00:00"/>
    <n v="2"/>
    <n v="649"/>
  </r>
  <r>
    <x v="7"/>
    <x v="0"/>
    <x v="3"/>
    <s v="Home USA"/>
    <d v="2012-11-15T00:00:00"/>
    <n v="10"/>
    <n v="3801"/>
  </r>
  <r>
    <x v="0"/>
    <x v="3"/>
    <x v="0"/>
    <s v="Appliance Mart"/>
    <d v="2013-10-02T00:00:00"/>
    <n v="2"/>
    <n v="473"/>
  </r>
  <r>
    <x v="1"/>
    <x v="1"/>
    <x v="3"/>
    <s v="ElectroCity"/>
    <d v="2012-04-12T00:00:00"/>
    <n v="8"/>
    <n v="3927"/>
  </r>
  <r>
    <x v="3"/>
    <x v="1"/>
    <x v="1"/>
    <s v="Appliance Mart"/>
    <d v="2012-10-18T00:00:00"/>
    <n v="14"/>
    <n v="4505"/>
  </r>
  <r>
    <x v="1"/>
    <x v="1"/>
    <x v="0"/>
    <s v="Home Emporium"/>
    <d v="2013-08-21T00:00:00"/>
    <n v="11"/>
    <n v="6281"/>
  </r>
  <r>
    <x v="7"/>
    <x v="4"/>
    <x v="3"/>
    <s v="Kitchen Center"/>
    <d v="2012-09-05T00:00:00"/>
    <n v="2"/>
    <n v="435"/>
  </r>
  <r>
    <x v="10"/>
    <x v="3"/>
    <x v="3"/>
    <s v="Appliance Mart"/>
    <d v="2013-06-22T00:00:00"/>
    <n v="14"/>
    <n v="7381"/>
  </r>
  <r>
    <x v="6"/>
    <x v="2"/>
    <x v="0"/>
    <s v="Appliance Mart"/>
    <d v="2012-09-23T00:00:00"/>
    <n v="2"/>
    <n v="506"/>
  </r>
  <r>
    <x v="11"/>
    <x v="2"/>
    <x v="2"/>
    <s v="Appliance Mart"/>
    <d v="2012-04-12T00:00:00"/>
    <n v="7"/>
    <n v="2244"/>
  </r>
  <r>
    <x v="5"/>
    <x v="1"/>
    <x v="0"/>
    <s v="ElectroCity"/>
    <d v="2013-08-10T00:00:00"/>
    <n v="17"/>
    <n v="6104"/>
  </r>
  <r>
    <x v="6"/>
    <x v="2"/>
    <x v="0"/>
    <s v="Home USA"/>
    <d v="2012-11-25T00:00:00"/>
    <n v="13"/>
    <n v="7865"/>
  </r>
  <r>
    <x v="5"/>
    <x v="1"/>
    <x v="0"/>
    <s v="Appliance Mart"/>
    <d v="2012-12-10T00:00:00"/>
    <n v="8"/>
    <n v="3218"/>
  </r>
  <r>
    <x v="0"/>
    <x v="0"/>
    <x v="0"/>
    <s v="Home USA"/>
    <d v="2012-10-24T00:00:00"/>
    <n v="3"/>
    <n v="759"/>
  </r>
  <r>
    <x v="5"/>
    <x v="2"/>
    <x v="3"/>
    <s v="Kitchen Center"/>
    <d v="2013-03-13T00:00:00"/>
    <n v="9"/>
    <n v="3707"/>
  </r>
  <r>
    <x v="4"/>
    <x v="2"/>
    <x v="3"/>
    <s v="Appliance Mart"/>
    <d v="2012-01-27T00:00:00"/>
    <n v="5"/>
    <n v="1986"/>
  </r>
  <r>
    <x v="1"/>
    <x v="4"/>
    <x v="3"/>
    <s v="ElectroCity"/>
    <d v="2012-01-19T00:00:00"/>
    <n v="21"/>
    <n v="12716"/>
  </r>
  <r>
    <x v="5"/>
    <x v="3"/>
    <x v="2"/>
    <s v="Appliance Mart"/>
    <d v="2012-06-21T00:00:00"/>
    <n v="6"/>
    <n v="3020"/>
  </r>
  <r>
    <x v="1"/>
    <x v="1"/>
    <x v="0"/>
    <s v="Home USA"/>
    <d v="2012-03-22T00:00:00"/>
    <n v="9"/>
    <n v="4928"/>
  </r>
  <r>
    <x v="6"/>
    <x v="1"/>
    <x v="3"/>
    <s v="Home USA"/>
    <d v="2012-05-10T00:00:00"/>
    <n v="11"/>
    <n v="6457"/>
  </r>
  <r>
    <x v="6"/>
    <x v="3"/>
    <x v="0"/>
    <s v="Appliance Mart"/>
    <d v="2012-06-14T00:00:00"/>
    <n v="7"/>
    <n v="2283"/>
  </r>
  <r>
    <x v="9"/>
    <x v="2"/>
    <x v="3"/>
    <s v="Appliance Mart"/>
    <d v="2012-01-18T00:00:00"/>
    <n v="5"/>
    <n v="1375"/>
  </r>
  <r>
    <x v="1"/>
    <x v="3"/>
    <x v="2"/>
    <s v="ElectroCity"/>
    <d v="2012-10-03T00:00:00"/>
    <n v="19"/>
    <n v="8751"/>
  </r>
  <r>
    <x v="9"/>
    <x v="4"/>
    <x v="3"/>
    <s v="Appliance Mart"/>
    <d v="2012-12-02T00:00:00"/>
    <n v="4"/>
    <n v="1172"/>
  </r>
  <r>
    <x v="0"/>
    <x v="4"/>
    <x v="3"/>
    <s v="ElectroCity"/>
    <d v="2013-03-27T00:00:00"/>
    <n v="10"/>
    <n v="4789"/>
  </r>
  <r>
    <x v="3"/>
    <x v="2"/>
    <x v="0"/>
    <s v="Appliance Mart"/>
    <d v="2013-11-10T00:00:00"/>
    <n v="3"/>
    <n v="1315"/>
  </r>
  <r>
    <x v="2"/>
    <x v="0"/>
    <x v="3"/>
    <s v="Home USA"/>
    <d v="2013-08-11T00:00:00"/>
    <n v="4"/>
    <n v="1859"/>
  </r>
  <r>
    <x v="9"/>
    <x v="2"/>
    <x v="3"/>
    <s v="ElectroCity"/>
    <d v="2012-12-29T00:00:00"/>
    <n v="13"/>
    <n v="5977"/>
  </r>
  <r>
    <x v="2"/>
    <x v="4"/>
    <x v="1"/>
    <s v="Appliance Mart"/>
    <d v="2012-07-22T00:00:00"/>
    <n v="10"/>
    <n v="3020"/>
  </r>
  <r>
    <x v="5"/>
    <x v="4"/>
    <x v="3"/>
    <s v="Appliance Mart"/>
    <d v="2013-12-18T00:00:00"/>
    <n v="8"/>
    <n v="3383"/>
  </r>
  <r>
    <x v="10"/>
    <x v="4"/>
    <x v="1"/>
    <s v="ElectroCity"/>
    <d v="2012-09-10T00:00:00"/>
    <n v="14"/>
    <n v="7462"/>
  </r>
  <r>
    <x v="8"/>
    <x v="1"/>
    <x v="3"/>
    <s v="Home Emporium"/>
    <d v="2012-02-07T00:00:00"/>
    <n v="5"/>
    <n v="2519"/>
  </r>
  <r>
    <x v="0"/>
    <x v="2"/>
    <x v="1"/>
    <s v="Home USA"/>
    <d v="2013-08-28T00:00:00"/>
    <n v="6"/>
    <n v="2277"/>
  </r>
  <r>
    <x v="3"/>
    <x v="1"/>
    <x v="3"/>
    <s v="Home USA"/>
    <d v="2013-07-28T00:00:00"/>
    <n v="8"/>
    <n v="4202"/>
  </r>
  <r>
    <x v="2"/>
    <x v="4"/>
    <x v="1"/>
    <s v="ElectroCity"/>
    <d v="2012-03-23T00:00:00"/>
    <n v="21"/>
    <n v="6666"/>
  </r>
  <r>
    <x v="10"/>
    <x v="4"/>
    <x v="2"/>
    <s v="Appliance Mart"/>
    <d v="2012-07-12T00:00:00"/>
    <n v="3"/>
    <n v="974"/>
  </r>
  <r>
    <x v="1"/>
    <x v="4"/>
    <x v="3"/>
    <s v="Kitchen Center"/>
    <d v="2013-08-22T00:00:00"/>
    <n v="16"/>
    <n v="8234"/>
  </r>
  <r>
    <x v="5"/>
    <x v="4"/>
    <x v="3"/>
    <s v="Home USA"/>
    <d v="2012-12-26T00:00:00"/>
    <n v="2"/>
    <n v="622"/>
  </r>
  <r>
    <x v="4"/>
    <x v="4"/>
    <x v="0"/>
    <s v="Home Emporium"/>
    <d v="2013-05-01T00:00:00"/>
    <n v="12"/>
    <n v="7178"/>
  </r>
  <r>
    <x v="3"/>
    <x v="2"/>
    <x v="2"/>
    <s v="Home USA"/>
    <d v="2013-02-24T00:00:00"/>
    <n v="12"/>
    <n v="4862"/>
  </r>
  <r>
    <x v="1"/>
    <x v="4"/>
    <x v="0"/>
    <s v="Home Emporium"/>
    <d v="2013-05-07T00:00:00"/>
    <n v="11"/>
    <n v="5731"/>
  </r>
  <r>
    <x v="3"/>
    <x v="3"/>
    <x v="0"/>
    <s v="ElectroCity"/>
    <d v="2013-01-02T00:00:00"/>
    <n v="21"/>
    <n v="9460"/>
  </r>
  <r>
    <x v="0"/>
    <x v="1"/>
    <x v="1"/>
    <s v="Kitchen Center"/>
    <d v="2012-06-21T00:00:00"/>
    <n v="10"/>
    <n v="3911"/>
  </r>
  <r>
    <x v="5"/>
    <x v="3"/>
    <x v="1"/>
    <s v="Appliance Mart"/>
    <d v="2012-06-14T00:00:00"/>
    <n v="10"/>
    <n v="3427"/>
  </r>
  <r>
    <x v="1"/>
    <x v="0"/>
    <x v="0"/>
    <s v="ElectroCity"/>
    <d v="2013-12-12T00:00:00"/>
    <n v="9"/>
    <n v="3462"/>
  </r>
  <r>
    <x v="11"/>
    <x v="0"/>
    <x v="1"/>
    <s v="Kitchen Center"/>
    <d v="2012-04-09T00:00:00"/>
    <n v="9"/>
    <n v="4989"/>
  </r>
  <r>
    <x v="6"/>
    <x v="1"/>
    <x v="2"/>
    <s v="Appliance Mart"/>
    <d v="2012-07-19T00:00:00"/>
    <n v="3"/>
    <n v="1271"/>
  </r>
  <r>
    <x v="4"/>
    <x v="1"/>
    <x v="3"/>
    <s v="Home Emporium"/>
    <d v="2013-10-09T00:00:00"/>
    <n v="4"/>
    <n v="1590"/>
  </r>
  <r>
    <x v="3"/>
    <x v="1"/>
    <x v="2"/>
    <s v="ElectroCity"/>
    <d v="2012-01-12T00:00:00"/>
    <n v="7"/>
    <n v="3201"/>
  </r>
  <r>
    <x v="11"/>
    <x v="0"/>
    <x v="3"/>
    <s v="Home USA"/>
    <d v="2013-11-17T00:00:00"/>
    <n v="8"/>
    <n v="4527"/>
  </r>
  <r>
    <x v="7"/>
    <x v="3"/>
    <x v="1"/>
    <s v="Appliance Mart"/>
    <d v="2012-11-16T00:00:00"/>
    <n v="5"/>
    <n v="2206"/>
  </r>
  <r>
    <x v="6"/>
    <x v="1"/>
    <x v="0"/>
    <s v="ElectroCity"/>
    <d v="2012-04-22T00:00:00"/>
    <n v="17"/>
    <n v="9081"/>
  </r>
  <r>
    <x v="9"/>
    <x v="3"/>
    <x v="0"/>
    <s v="Kitchen Center"/>
    <d v="2012-07-07T00:00:00"/>
    <n v="15"/>
    <n v="5451"/>
  </r>
  <r>
    <x v="9"/>
    <x v="1"/>
    <x v="1"/>
    <s v="Home USA"/>
    <d v="2013-04-20T00:00:00"/>
    <n v="15"/>
    <n v="6435"/>
  </r>
  <r>
    <x v="5"/>
    <x v="2"/>
    <x v="0"/>
    <s v="Home Emporium"/>
    <d v="2012-04-21T00:00:00"/>
    <n v="5"/>
    <n v="2497"/>
  </r>
  <r>
    <x v="5"/>
    <x v="4"/>
    <x v="2"/>
    <s v="Kitchen Center"/>
    <d v="2013-01-21T00:00:00"/>
    <n v="11"/>
    <n v="3773"/>
  </r>
  <r>
    <x v="11"/>
    <x v="0"/>
    <x v="0"/>
    <s v="Kitchen Center"/>
    <d v="2012-03-29T00:00:00"/>
    <n v="10"/>
    <n v="5918"/>
  </r>
  <r>
    <x v="1"/>
    <x v="1"/>
    <x v="1"/>
    <s v="Home USA"/>
    <d v="2012-09-10T00:00:00"/>
    <n v="11"/>
    <n v="3663"/>
  </r>
  <r>
    <x v="3"/>
    <x v="0"/>
    <x v="0"/>
    <s v="ElectroCity"/>
    <d v="2013-02-18T00:00:00"/>
    <n v="20"/>
    <n v="6270"/>
  </r>
  <r>
    <x v="5"/>
    <x v="4"/>
    <x v="3"/>
    <s v="Home USA"/>
    <d v="2012-06-22T00:00:00"/>
    <n v="12"/>
    <n v="7101"/>
  </r>
  <r>
    <x v="3"/>
    <x v="2"/>
    <x v="1"/>
    <s v="ElectroCity"/>
    <d v="2013-05-26T00:00:00"/>
    <n v="21"/>
    <n v="12232"/>
  </r>
  <r>
    <x v="8"/>
    <x v="3"/>
    <x v="0"/>
    <s v="Home Emporium"/>
    <d v="2012-07-01T00:00:00"/>
    <n v="8"/>
    <n v="2624"/>
  </r>
  <r>
    <x v="2"/>
    <x v="1"/>
    <x v="1"/>
    <s v="ElectroCity"/>
    <d v="2013-11-14T00:00:00"/>
    <n v="20"/>
    <n v="7651"/>
  </r>
  <r>
    <x v="10"/>
    <x v="3"/>
    <x v="0"/>
    <s v="Kitchen Center"/>
    <d v="2012-08-16T00:00:00"/>
    <n v="9"/>
    <n v="5148"/>
  </r>
  <r>
    <x v="11"/>
    <x v="1"/>
    <x v="3"/>
    <s v="Home USA"/>
    <d v="2013-10-23T00:00:00"/>
    <n v="14"/>
    <n v="6765"/>
  </r>
  <r>
    <x v="9"/>
    <x v="2"/>
    <x v="1"/>
    <s v="Appliance Mart"/>
    <d v="2013-08-07T00:00:00"/>
    <n v="14"/>
    <n v="8536"/>
  </r>
  <r>
    <x v="1"/>
    <x v="1"/>
    <x v="1"/>
    <s v="Kitchen Center"/>
    <d v="2013-09-13T00:00:00"/>
    <n v="10"/>
    <n v="5126"/>
  </r>
  <r>
    <x v="2"/>
    <x v="2"/>
    <x v="3"/>
    <s v="Appliance Mart"/>
    <d v="2013-04-03T00:00:00"/>
    <n v="5"/>
    <n v="1804"/>
  </r>
  <r>
    <x v="9"/>
    <x v="3"/>
    <x v="1"/>
    <s v="Kitchen Center"/>
    <d v="2012-09-24T00:00:00"/>
    <n v="5"/>
    <n v="1766"/>
  </r>
  <r>
    <x v="9"/>
    <x v="0"/>
    <x v="0"/>
    <s v="Home USA"/>
    <d v="2013-02-02T00:00:00"/>
    <n v="15"/>
    <n v="9053"/>
  </r>
  <r>
    <x v="7"/>
    <x v="3"/>
    <x v="2"/>
    <s v="Home Emporium"/>
    <d v="2013-05-07T00:00:00"/>
    <n v="15"/>
    <n v="7332"/>
  </r>
  <r>
    <x v="8"/>
    <x v="3"/>
    <x v="3"/>
    <s v="Appliance Mart"/>
    <d v="2013-10-06T00:00:00"/>
    <n v="11"/>
    <n v="4521"/>
  </r>
  <r>
    <x v="1"/>
    <x v="3"/>
    <x v="2"/>
    <s v="ElectroCity"/>
    <d v="2013-07-21T00:00:00"/>
    <n v="18"/>
    <n v="10924"/>
  </r>
  <r>
    <x v="7"/>
    <x v="2"/>
    <x v="1"/>
    <s v="Home USA"/>
    <d v="2013-02-24T00:00:00"/>
    <n v="12"/>
    <n v="6331"/>
  </r>
  <r>
    <x v="8"/>
    <x v="1"/>
    <x v="0"/>
    <s v="Home USA"/>
    <d v="2012-09-06T00:00:00"/>
    <n v="2"/>
    <n v="627"/>
  </r>
  <r>
    <x v="5"/>
    <x v="4"/>
    <x v="1"/>
    <s v="Appliance Mart"/>
    <d v="2012-07-01T00:00:00"/>
    <n v="7"/>
    <n v="3790"/>
  </r>
  <r>
    <x v="3"/>
    <x v="0"/>
    <x v="2"/>
    <s v="ElectroCity"/>
    <d v="2013-11-01T00:00:00"/>
    <n v="18"/>
    <n v="9989"/>
  </r>
  <r>
    <x v="5"/>
    <x v="2"/>
    <x v="0"/>
    <s v="Home USA"/>
    <d v="2013-12-17T00:00:00"/>
    <n v="16"/>
    <n v="9537"/>
  </r>
  <r>
    <x v="1"/>
    <x v="1"/>
    <x v="3"/>
    <s v="ElectroCity"/>
    <d v="2013-10-01T00:00:00"/>
    <n v="15"/>
    <n v="6964"/>
  </r>
  <r>
    <x v="11"/>
    <x v="4"/>
    <x v="0"/>
    <s v="ElectroCity"/>
    <d v="2012-05-14T00:00:00"/>
    <n v="8"/>
    <n v="3465"/>
  </r>
  <r>
    <x v="0"/>
    <x v="2"/>
    <x v="2"/>
    <s v="Home Emporium"/>
    <d v="2012-03-17T00:00:00"/>
    <n v="2"/>
    <n v="358"/>
  </r>
  <r>
    <x v="10"/>
    <x v="2"/>
    <x v="1"/>
    <s v="Home USA"/>
    <d v="2012-04-16T00:00:00"/>
    <n v="6"/>
    <n v="3300"/>
  </r>
  <r>
    <x v="7"/>
    <x v="2"/>
    <x v="2"/>
    <s v="Home USA"/>
    <d v="2012-11-16T00:00:00"/>
    <n v="8"/>
    <n v="4241"/>
  </r>
  <r>
    <x v="1"/>
    <x v="1"/>
    <x v="1"/>
    <s v="Appliance Mart"/>
    <d v="2012-08-03T00:00:00"/>
    <n v="9"/>
    <n v="3388"/>
  </r>
  <r>
    <x v="8"/>
    <x v="0"/>
    <x v="0"/>
    <s v="Home Emporium"/>
    <d v="2013-05-14T00:00:00"/>
    <n v="9"/>
    <n v="3108"/>
  </r>
  <r>
    <x v="10"/>
    <x v="3"/>
    <x v="3"/>
    <s v="Appliance Mart"/>
    <d v="2012-05-20T00:00:00"/>
    <n v="5"/>
    <n v="1463"/>
  </r>
  <r>
    <x v="11"/>
    <x v="3"/>
    <x v="3"/>
    <s v="Home Emporium"/>
    <d v="2013-08-23T00:00:00"/>
    <n v="14"/>
    <n v="8294"/>
  </r>
  <r>
    <x v="1"/>
    <x v="2"/>
    <x v="0"/>
    <s v="ElectroCity"/>
    <d v="2012-11-21T00:00:00"/>
    <n v="9"/>
    <n v="4342"/>
  </r>
  <r>
    <x v="1"/>
    <x v="1"/>
    <x v="3"/>
    <s v="Kitchen Center"/>
    <d v="2013-01-27T00:00:00"/>
    <n v="16"/>
    <n v="8762"/>
  </r>
  <r>
    <x v="10"/>
    <x v="2"/>
    <x v="2"/>
    <s v="Home USA"/>
    <d v="2013-09-13T00:00:00"/>
    <n v="14"/>
    <n v="5165"/>
  </r>
  <r>
    <x v="0"/>
    <x v="0"/>
    <x v="0"/>
    <s v="Appliance Mart"/>
    <d v="2013-06-01T00:00:00"/>
    <n v="3"/>
    <n v="1128"/>
  </r>
  <r>
    <x v="1"/>
    <x v="0"/>
    <x v="1"/>
    <s v="Home USA"/>
    <d v="2012-07-01T00:00:00"/>
    <n v="14"/>
    <n v="4989"/>
  </r>
  <r>
    <x v="6"/>
    <x v="3"/>
    <x v="0"/>
    <s v="Appliance Mart"/>
    <d v="2012-01-04T00:00:00"/>
    <n v="4"/>
    <n v="1837"/>
  </r>
  <r>
    <x v="1"/>
    <x v="3"/>
    <x v="0"/>
    <s v="Home Emporium"/>
    <d v="2013-01-04T00:00:00"/>
    <n v="7"/>
    <n v="2904"/>
  </r>
  <r>
    <x v="7"/>
    <x v="0"/>
    <x v="2"/>
    <s v="Kitchen Center"/>
    <d v="2012-08-31T00:00:00"/>
    <n v="10"/>
    <n v="5187"/>
  </r>
  <r>
    <x v="11"/>
    <x v="4"/>
    <x v="1"/>
    <s v="Kitchen Center"/>
    <d v="2013-08-20T00:00:00"/>
    <n v="9"/>
    <n v="4109"/>
  </r>
  <r>
    <x v="9"/>
    <x v="4"/>
    <x v="0"/>
    <s v="Home Emporium"/>
    <d v="2013-10-23T00:00:00"/>
    <n v="9"/>
    <n v="4620"/>
  </r>
  <r>
    <x v="9"/>
    <x v="2"/>
    <x v="3"/>
    <s v="Home Emporium"/>
    <d v="2013-01-25T00:00:00"/>
    <n v="9"/>
    <n v="3817"/>
  </r>
  <r>
    <x v="1"/>
    <x v="2"/>
    <x v="2"/>
    <s v="Home USA"/>
    <d v="2012-02-23T00:00:00"/>
    <n v="15"/>
    <n v="7761"/>
  </r>
  <r>
    <x v="2"/>
    <x v="0"/>
    <x v="2"/>
    <s v="ElectroCity"/>
    <d v="2013-01-31T00:00:00"/>
    <n v="14"/>
    <n v="8097"/>
  </r>
  <r>
    <x v="4"/>
    <x v="1"/>
    <x v="0"/>
    <s v="Home USA"/>
    <d v="2013-07-06T00:00:00"/>
    <n v="8"/>
    <n v="2866"/>
  </r>
  <r>
    <x v="1"/>
    <x v="2"/>
    <x v="2"/>
    <s v="Appliance Mart"/>
    <d v="2013-08-24T00:00:00"/>
    <n v="6"/>
    <n v="1799"/>
  </r>
  <r>
    <x v="8"/>
    <x v="2"/>
    <x v="2"/>
    <s v="Appliance Mart"/>
    <d v="2012-05-19T00:00:00"/>
    <n v="4"/>
    <n v="1744"/>
  </r>
  <r>
    <x v="0"/>
    <x v="0"/>
    <x v="2"/>
    <s v="Appliance Mart"/>
    <d v="2012-07-29T00:00:00"/>
    <n v="11"/>
    <n v="5885"/>
  </r>
  <r>
    <x v="2"/>
    <x v="2"/>
    <x v="0"/>
    <s v="ElectroCity"/>
    <d v="2013-06-26T00:00:00"/>
    <n v="10"/>
    <n v="5185"/>
  </r>
  <r>
    <x v="3"/>
    <x v="1"/>
    <x v="2"/>
    <s v="ElectroCity"/>
    <d v="2013-10-15T00:00:00"/>
    <n v="12"/>
    <n v="5002"/>
  </r>
  <r>
    <x v="6"/>
    <x v="3"/>
    <x v="1"/>
    <s v="ElectroCity"/>
    <d v="2012-07-20T00:00:00"/>
    <n v="8"/>
    <n v="3639"/>
  </r>
  <r>
    <x v="8"/>
    <x v="1"/>
    <x v="1"/>
    <s v="Home Emporium"/>
    <d v="2012-02-12T00:00:00"/>
    <n v="2"/>
    <n v="572"/>
  </r>
  <r>
    <x v="0"/>
    <x v="3"/>
    <x v="3"/>
    <s v="Appliance Mart"/>
    <d v="2012-11-22T00:00:00"/>
    <n v="3"/>
    <n v="726"/>
  </r>
  <r>
    <x v="6"/>
    <x v="3"/>
    <x v="3"/>
    <s v="Home Emporium"/>
    <d v="2012-04-05T00:00:00"/>
    <n v="14"/>
    <n v="8349"/>
  </r>
  <r>
    <x v="10"/>
    <x v="3"/>
    <x v="3"/>
    <s v="ElectroCity"/>
    <d v="2013-03-02T00:00:00"/>
    <n v="9"/>
    <n v="3006"/>
  </r>
  <r>
    <x v="2"/>
    <x v="2"/>
    <x v="0"/>
    <s v="Kitchen Center"/>
    <d v="2012-03-05T00:00:00"/>
    <n v="2"/>
    <n v="484"/>
  </r>
  <r>
    <x v="10"/>
    <x v="0"/>
    <x v="0"/>
    <s v="Appliance Mart"/>
    <d v="2013-09-04T00:00:00"/>
    <n v="10"/>
    <n v="4395"/>
  </r>
  <r>
    <x v="3"/>
    <x v="0"/>
    <x v="2"/>
    <s v="Home Emporium"/>
    <d v="2013-11-10T00:00:00"/>
    <n v="14"/>
    <n v="5308"/>
  </r>
  <r>
    <x v="1"/>
    <x v="2"/>
    <x v="1"/>
    <s v="Home Emporium"/>
    <d v="2013-08-11T00:00:00"/>
    <n v="9"/>
    <n v="3020"/>
  </r>
  <r>
    <x v="4"/>
    <x v="1"/>
    <x v="3"/>
    <s v="Home Emporium"/>
    <d v="2012-08-12T00:00:00"/>
    <n v="10"/>
    <n v="5467"/>
  </r>
  <r>
    <x v="1"/>
    <x v="3"/>
    <x v="3"/>
    <s v="Appliance Mart"/>
    <d v="2013-01-26T00:00:00"/>
    <n v="10"/>
    <n v="4928"/>
  </r>
  <r>
    <x v="3"/>
    <x v="1"/>
    <x v="0"/>
    <s v="ElectroCity"/>
    <d v="2012-11-30T00:00:00"/>
    <n v="13"/>
    <n v="6439"/>
  </r>
  <r>
    <x v="2"/>
    <x v="0"/>
    <x v="2"/>
    <s v="Home Emporium"/>
    <d v="2013-04-03T00:00:00"/>
    <n v="11"/>
    <n v="3476"/>
  </r>
  <r>
    <x v="7"/>
    <x v="4"/>
    <x v="0"/>
    <s v="Home USA"/>
    <d v="2013-09-12T00:00:00"/>
    <n v="2"/>
    <n v="336"/>
  </r>
  <r>
    <x v="0"/>
    <x v="2"/>
    <x v="2"/>
    <s v="Home USA"/>
    <d v="2012-06-15T00:00:00"/>
    <n v="15"/>
    <n v="5946"/>
  </r>
  <r>
    <x v="4"/>
    <x v="1"/>
    <x v="3"/>
    <s v="Home USA"/>
    <d v="2013-09-25T00:00:00"/>
    <n v="16"/>
    <n v="6138"/>
  </r>
  <r>
    <x v="3"/>
    <x v="0"/>
    <x v="3"/>
    <s v="Appliance Mart"/>
    <d v="2012-04-27T00:00:00"/>
    <n v="9"/>
    <n v="4912"/>
  </r>
  <r>
    <x v="8"/>
    <x v="3"/>
    <x v="0"/>
    <s v="Home Emporium"/>
    <d v="2013-05-16T00:00:00"/>
    <n v="7"/>
    <n v="3223"/>
  </r>
  <r>
    <x v="8"/>
    <x v="4"/>
    <x v="2"/>
    <s v="Appliance Mart"/>
    <d v="2013-12-06T00:00:00"/>
    <n v="16"/>
    <n v="9603"/>
  </r>
  <r>
    <x v="0"/>
    <x v="4"/>
    <x v="0"/>
    <s v="Home Emporium"/>
    <d v="2013-01-30T00:00:00"/>
    <n v="2"/>
    <n v="391"/>
  </r>
  <r>
    <x v="1"/>
    <x v="4"/>
    <x v="3"/>
    <s v="ElectroCity"/>
    <d v="2013-05-05T00:00:00"/>
    <n v="9"/>
    <n v="3682"/>
  </r>
  <r>
    <x v="11"/>
    <x v="0"/>
    <x v="2"/>
    <s v="Home Emporium"/>
    <d v="2012-07-19T00:00:00"/>
    <n v="14"/>
    <n v="7579"/>
  </r>
  <r>
    <x v="0"/>
    <x v="4"/>
    <x v="0"/>
    <s v="Kitchen Center"/>
    <d v="2013-07-27T00:00:00"/>
    <n v="10"/>
    <n v="3097"/>
  </r>
  <r>
    <x v="10"/>
    <x v="3"/>
    <x v="3"/>
    <s v="Appliance Mart"/>
    <d v="2013-07-18T00:00:00"/>
    <n v="3"/>
    <n v="1155"/>
  </r>
  <r>
    <x v="2"/>
    <x v="1"/>
    <x v="3"/>
    <s v="ElectroCity"/>
    <d v="2013-09-19T00:00:00"/>
    <n v="20"/>
    <n v="8106"/>
  </r>
  <r>
    <x v="6"/>
    <x v="2"/>
    <x v="1"/>
    <s v="Home USA"/>
    <d v="2013-06-08T00:00:00"/>
    <n v="12"/>
    <n v="5748"/>
  </r>
  <r>
    <x v="1"/>
    <x v="0"/>
    <x v="1"/>
    <s v="Home USA"/>
    <d v="2012-02-05T00:00:00"/>
    <n v="2"/>
    <n v="622"/>
  </r>
  <r>
    <x v="3"/>
    <x v="3"/>
    <x v="2"/>
    <s v="Home Emporium"/>
    <d v="2013-07-11T00:00:00"/>
    <n v="5"/>
    <n v="1524"/>
  </r>
  <r>
    <x v="5"/>
    <x v="4"/>
    <x v="0"/>
    <s v="ElectroCity"/>
    <d v="2012-11-15T00:00:00"/>
    <n v="14"/>
    <n v="6060"/>
  </r>
  <r>
    <x v="8"/>
    <x v="2"/>
    <x v="0"/>
    <s v="Appliance Mart"/>
    <d v="2012-04-19T00:00:00"/>
    <n v="3"/>
    <n v="1238"/>
  </r>
  <r>
    <x v="1"/>
    <x v="0"/>
    <x v="0"/>
    <s v="Home USA"/>
    <d v="2013-07-30T00:00:00"/>
    <n v="9"/>
    <n v="2937"/>
  </r>
  <r>
    <x v="3"/>
    <x v="4"/>
    <x v="0"/>
    <s v="Appliance Mart"/>
    <d v="2013-01-14T00:00:00"/>
    <n v="3"/>
    <n v="743"/>
  </r>
  <r>
    <x v="10"/>
    <x v="0"/>
    <x v="0"/>
    <s v="Kitchen Center"/>
    <d v="2013-02-21T00:00:00"/>
    <n v="6"/>
    <n v="2833"/>
  </r>
  <r>
    <x v="11"/>
    <x v="2"/>
    <x v="3"/>
    <s v="Appliance Mart"/>
    <d v="2013-11-27T00:00:00"/>
    <n v="10"/>
    <n v="3971"/>
  </r>
  <r>
    <x v="4"/>
    <x v="1"/>
    <x v="2"/>
    <s v="Kitchen Center"/>
    <d v="2012-07-25T00:00:00"/>
    <n v="10"/>
    <n v="5572"/>
  </r>
  <r>
    <x v="11"/>
    <x v="3"/>
    <x v="2"/>
    <s v="Home USA"/>
    <d v="2012-10-31T00:00:00"/>
    <n v="3"/>
    <n v="693"/>
  </r>
  <r>
    <x v="1"/>
    <x v="3"/>
    <x v="0"/>
    <s v="Home USA"/>
    <d v="2013-08-15T00:00:00"/>
    <n v="3"/>
    <n v="825"/>
  </r>
  <r>
    <x v="9"/>
    <x v="4"/>
    <x v="1"/>
    <s v="Home Emporium"/>
    <d v="2012-12-14T00:00:00"/>
    <n v="5"/>
    <n v="1353"/>
  </r>
  <r>
    <x v="9"/>
    <x v="3"/>
    <x v="0"/>
    <s v="Appliance Mart"/>
    <d v="2012-12-20T00:00:00"/>
    <n v="10"/>
    <n v="3652"/>
  </r>
  <r>
    <x v="6"/>
    <x v="4"/>
    <x v="0"/>
    <s v="Home USA"/>
    <d v="2013-04-21T00:00:00"/>
    <n v="10"/>
    <n v="3328"/>
  </r>
  <r>
    <x v="2"/>
    <x v="0"/>
    <x v="0"/>
    <s v="Home USA"/>
    <d v="2013-04-13T00:00:00"/>
    <n v="13"/>
    <n v="6611"/>
  </r>
  <r>
    <x v="1"/>
    <x v="1"/>
    <x v="1"/>
    <s v="Appliance Mart"/>
    <d v="2012-05-27T00:00:00"/>
    <n v="6"/>
    <n v="2910"/>
  </r>
  <r>
    <x v="5"/>
    <x v="3"/>
    <x v="2"/>
    <s v="Appliance Mart"/>
    <d v="2012-04-01T00:00:00"/>
    <n v="15"/>
    <n v="7282"/>
  </r>
  <r>
    <x v="8"/>
    <x v="1"/>
    <x v="0"/>
    <s v="Appliance Mart"/>
    <d v="2013-11-19T00:00:00"/>
    <n v="11"/>
    <n v="4763"/>
  </r>
  <r>
    <x v="6"/>
    <x v="2"/>
    <x v="2"/>
    <s v="ElectroCity"/>
    <d v="2012-08-02T00:00:00"/>
    <n v="8"/>
    <n v="4216"/>
  </r>
  <r>
    <x v="7"/>
    <x v="1"/>
    <x v="1"/>
    <s v="Appliance Mart"/>
    <d v="2012-10-21T00:00:00"/>
    <n v="3"/>
    <n v="1012"/>
  </r>
  <r>
    <x v="9"/>
    <x v="4"/>
    <x v="0"/>
    <s v="Appliance Mart"/>
    <d v="2013-02-18T00:00:00"/>
    <n v="4"/>
    <n v="1799"/>
  </r>
  <r>
    <x v="6"/>
    <x v="0"/>
    <x v="0"/>
    <s v="Appliance Mart"/>
    <d v="2013-02-20T00:00:00"/>
    <n v="12"/>
    <n v="6738"/>
  </r>
  <r>
    <x v="5"/>
    <x v="4"/>
    <x v="2"/>
    <s v="Home USA"/>
    <d v="2012-10-12T00:00:00"/>
    <n v="2"/>
    <n v="534"/>
  </r>
  <r>
    <x v="0"/>
    <x v="2"/>
    <x v="0"/>
    <s v="Kitchen Center"/>
    <d v="2013-12-21T00:00:00"/>
    <n v="16"/>
    <n v="7656"/>
  </r>
  <r>
    <x v="7"/>
    <x v="2"/>
    <x v="2"/>
    <s v="Home USA"/>
    <d v="2013-08-04T00:00:00"/>
    <n v="6"/>
    <n v="2393"/>
  </r>
  <r>
    <x v="9"/>
    <x v="1"/>
    <x v="0"/>
    <s v="Kitchen Center"/>
    <d v="2012-06-24T00:00:00"/>
    <n v="15"/>
    <n v="7810"/>
  </r>
  <r>
    <x v="1"/>
    <x v="4"/>
    <x v="2"/>
    <s v="ElectroCity"/>
    <d v="2012-04-14T00:00:00"/>
    <n v="13"/>
    <n v="4158"/>
  </r>
  <r>
    <x v="2"/>
    <x v="3"/>
    <x v="1"/>
    <s v="Appliance Mart"/>
    <d v="2012-03-04T00:00:00"/>
    <n v="12"/>
    <n v="5093"/>
  </r>
  <r>
    <x v="8"/>
    <x v="4"/>
    <x v="1"/>
    <s v="Appliance Mart"/>
    <d v="2012-12-09T00:00:00"/>
    <n v="7"/>
    <n v="2079"/>
  </r>
  <r>
    <x v="3"/>
    <x v="4"/>
    <x v="1"/>
    <s v="Appliance Mart"/>
    <d v="2013-07-11T00:00:00"/>
    <n v="16"/>
    <n v="7425"/>
  </r>
  <r>
    <x v="5"/>
    <x v="0"/>
    <x v="3"/>
    <s v="Home USA"/>
    <d v="2013-06-23T00:00:00"/>
    <n v="6"/>
    <n v="3223"/>
  </r>
  <r>
    <x v="0"/>
    <x v="2"/>
    <x v="3"/>
    <s v="Kitchen Center"/>
    <d v="2013-09-04T00:00:00"/>
    <n v="9"/>
    <n v="5005"/>
  </r>
  <r>
    <x v="3"/>
    <x v="2"/>
    <x v="1"/>
    <s v="Appliance Mart"/>
    <d v="2012-05-03T00:00:00"/>
    <n v="3"/>
    <n v="1144"/>
  </r>
  <r>
    <x v="5"/>
    <x v="1"/>
    <x v="3"/>
    <s v="Appliance Mart"/>
    <d v="2012-05-09T00:00:00"/>
    <n v="10"/>
    <n v="3190"/>
  </r>
  <r>
    <x v="5"/>
    <x v="1"/>
    <x v="1"/>
    <s v="Appliance Mart"/>
    <d v="2013-11-01T00:00:00"/>
    <n v="3"/>
    <n v="990"/>
  </r>
  <r>
    <x v="10"/>
    <x v="1"/>
    <x v="2"/>
    <s v="Home Emporium"/>
    <d v="2013-11-20T00:00:00"/>
    <n v="11"/>
    <n v="3454"/>
  </r>
  <r>
    <x v="5"/>
    <x v="4"/>
    <x v="2"/>
    <s v="ElectroCity"/>
    <d v="2012-02-15T00:00:00"/>
    <n v="16"/>
    <n v="5082"/>
  </r>
  <r>
    <x v="8"/>
    <x v="4"/>
    <x v="1"/>
    <s v="Home USA"/>
    <d v="2013-08-02T00:00:00"/>
    <n v="4"/>
    <n v="1084"/>
  </r>
  <r>
    <x v="3"/>
    <x v="4"/>
    <x v="1"/>
    <s v="ElectroCity"/>
    <d v="2012-04-19T00:00:00"/>
    <n v="12"/>
    <n v="4770"/>
  </r>
  <r>
    <x v="5"/>
    <x v="2"/>
    <x v="1"/>
    <s v="Home USA"/>
    <d v="2012-10-29T00:00:00"/>
    <n v="3"/>
    <n v="1254"/>
  </r>
  <r>
    <x v="2"/>
    <x v="1"/>
    <x v="3"/>
    <s v="Home USA"/>
    <d v="2013-12-17T00:00:00"/>
    <n v="4"/>
    <n v="1183"/>
  </r>
  <r>
    <x v="1"/>
    <x v="2"/>
    <x v="2"/>
    <s v="Home Emporium"/>
    <d v="2012-09-13T00:00:00"/>
    <n v="10"/>
    <n v="4147"/>
  </r>
  <r>
    <x v="3"/>
    <x v="2"/>
    <x v="3"/>
    <s v="Appliance Mart"/>
    <d v="2012-09-10T00:00:00"/>
    <n v="9"/>
    <n v="4384"/>
  </r>
  <r>
    <x v="0"/>
    <x v="1"/>
    <x v="0"/>
    <s v="Appliance Mart"/>
    <d v="2012-10-26T00:00:00"/>
    <n v="10"/>
    <n v="3394"/>
  </r>
  <r>
    <x v="2"/>
    <x v="2"/>
    <x v="2"/>
    <s v="Kitchen Center"/>
    <d v="2013-02-14T00:00:00"/>
    <n v="16"/>
    <n v="8432"/>
  </r>
  <r>
    <x v="9"/>
    <x v="1"/>
    <x v="0"/>
    <s v="Kitchen Center"/>
    <d v="2013-02-27T00:00:00"/>
    <n v="14"/>
    <n v="4450"/>
  </r>
  <r>
    <x v="8"/>
    <x v="0"/>
    <x v="2"/>
    <s v="Kitchen Center"/>
    <d v="2012-11-08T00:00:00"/>
    <n v="5"/>
    <n v="2387"/>
  </r>
  <r>
    <x v="2"/>
    <x v="2"/>
    <x v="0"/>
    <s v="Kitchen Center"/>
    <d v="2013-10-08T00:00:00"/>
    <n v="2"/>
    <n v="363"/>
  </r>
  <r>
    <x v="2"/>
    <x v="0"/>
    <x v="3"/>
    <s v="Home Emporium"/>
    <d v="2012-03-09T00:00:00"/>
    <n v="3"/>
    <n v="1111"/>
  </r>
  <r>
    <x v="0"/>
    <x v="4"/>
    <x v="2"/>
    <s v="Home USA"/>
    <d v="2012-01-22T00:00:00"/>
    <n v="12"/>
    <n v="5506"/>
  </r>
  <r>
    <x v="3"/>
    <x v="3"/>
    <x v="2"/>
    <s v="Home Emporium"/>
    <d v="2012-08-17T00:00:00"/>
    <n v="2"/>
    <n v="396"/>
  </r>
  <r>
    <x v="1"/>
    <x v="4"/>
    <x v="1"/>
    <s v="Home Emporium"/>
    <d v="2012-10-11T00:00:00"/>
    <n v="3"/>
    <n v="704"/>
  </r>
  <r>
    <x v="1"/>
    <x v="4"/>
    <x v="0"/>
    <s v="Home Emporium"/>
    <d v="2013-05-18T00:00:00"/>
    <n v="3"/>
    <n v="754"/>
  </r>
  <r>
    <x v="6"/>
    <x v="4"/>
    <x v="2"/>
    <s v="ElectroCity"/>
    <d v="2013-01-06T00:00:00"/>
    <n v="17"/>
    <n v="9136"/>
  </r>
  <r>
    <x v="1"/>
    <x v="2"/>
    <x v="0"/>
    <s v="ElectroCity"/>
    <d v="2012-12-23T00:00:00"/>
    <n v="17"/>
    <n v="6881"/>
  </r>
  <r>
    <x v="2"/>
    <x v="2"/>
    <x v="0"/>
    <s v="Kitchen Center"/>
    <d v="2013-11-26T00:00:00"/>
    <n v="3"/>
    <n v="1238"/>
  </r>
  <r>
    <x v="6"/>
    <x v="3"/>
    <x v="3"/>
    <s v="Home Emporium"/>
    <d v="2012-10-25T00:00:00"/>
    <n v="16"/>
    <n v="5264"/>
  </r>
  <r>
    <x v="5"/>
    <x v="4"/>
    <x v="1"/>
    <s v="Home USA"/>
    <d v="2013-04-13T00:00:00"/>
    <n v="8"/>
    <n v="3405"/>
  </r>
  <r>
    <x v="4"/>
    <x v="1"/>
    <x v="0"/>
    <s v="Appliance Mart"/>
    <d v="2013-10-30T00:00:00"/>
    <n v="8"/>
    <n v="4202"/>
  </r>
  <r>
    <x v="6"/>
    <x v="4"/>
    <x v="2"/>
    <s v="Home USA"/>
    <d v="2012-08-25T00:00:00"/>
    <n v="6"/>
    <n v="2338"/>
  </r>
  <r>
    <x v="9"/>
    <x v="3"/>
    <x v="0"/>
    <s v="Home Emporium"/>
    <d v="2012-08-15T00:00:00"/>
    <n v="3"/>
    <n v="957"/>
  </r>
  <r>
    <x v="2"/>
    <x v="3"/>
    <x v="3"/>
    <s v="Home USA"/>
    <d v="2012-12-28T00:00:00"/>
    <n v="5"/>
    <n v="1689"/>
  </r>
  <r>
    <x v="6"/>
    <x v="1"/>
    <x v="2"/>
    <s v="Kitchen Center"/>
    <d v="2013-07-03T00:00:00"/>
    <n v="6"/>
    <n v="2376"/>
  </r>
  <r>
    <x v="9"/>
    <x v="1"/>
    <x v="1"/>
    <s v="ElectroCity"/>
    <d v="2013-01-12T00:00:00"/>
    <n v="7"/>
    <n v="2475"/>
  </r>
  <r>
    <x v="8"/>
    <x v="4"/>
    <x v="0"/>
    <s v="ElectroCity"/>
    <d v="2012-07-14T00:00:00"/>
    <n v="9"/>
    <n v="2962"/>
  </r>
  <r>
    <x v="6"/>
    <x v="1"/>
    <x v="1"/>
    <s v="Home Emporium"/>
    <d v="2012-07-09T00:00:00"/>
    <n v="4"/>
    <n v="1953"/>
  </r>
  <r>
    <x v="5"/>
    <x v="4"/>
    <x v="3"/>
    <s v="Appliance Mart"/>
    <d v="2012-10-21T00:00:00"/>
    <n v="13"/>
    <n v="7337"/>
  </r>
  <r>
    <x v="1"/>
    <x v="2"/>
    <x v="0"/>
    <s v="Appliance Mart"/>
    <d v="2013-04-07T00:00:00"/>
    <n v="8"/>
    <n v="2970"/>
  </r>
  <r>
    <x v="1"/>
    <x v="4"/>
    <x v="0"/>
    <s v="Home USA"/>
    <d v="2012-07-05T00:00:00"/>
    <n v="13"/>
    <n v="7007"/>
  </r>
  <r>
    <x v="1"/>
    <x v="2"/>
    <x v="3"/>
    <s v="Home USA"/>
    <d v="2013-07-13T00:00:00"/>
    <n v="6"/>
    <n v="2607"/>
  </r>
  <r>
    <x v="5"/>
    <x v="0"/>
    <x v="0"/>
    <s v="Kitchen Center"/>
    <d v="2013-11-20T00:00:00"/>
    <n v="11"/>
    <n v="6589"/>
  </r>
  <r>
    <x v="7"/>
    <x v="2"/>
    <x v="2"/>
    <s v="Appliance Mart"/>
    <d v="2012-12-26T00:00:00"/>
    <n v="13"/>
    <n v="6958"/>
  </r>
  <r>
    <x v="0"/>
    <x v="1"/>
    <x v="0"/>
    <s v="Kitchen Center"/>
    <d v="2013-06-20T00:00:00"/>
    <n v="9"/>
    <n v="3388"/>
  </r>
  <r>
    <x v="1"/>
    <x v="2"/>
    <x v="0"/>
    <s v="Appliance Mart"/>
    <d v="2013-09-24T00:00:00"/>
    <n v="14"/>
    <n v="5121"/>
  </r>
  <r>
    <x v="1"/>
    <x v="3"/>
    <x v="1"/>
    <s v="ElectroCity"/>
    <d v="2012-12-26T00:00:00"/>
    <n v="10"/>
    <n v="3886"/>
  </r>
  <r>
    <x v="7"/>
    <x v="0"/>
    <x v="0"/>
    <s v="ElectroCity"/>
    <d v="2012-01-11T00:00:00"/>
    <n v="8"/>
    <n v="2580"/>
  </r>
  <r>
    <x v="4"/>
    <x v="0"/>
    <x v="1"/>
    <s v="Home Emporium"/>
    <d v="2013-05-22T00:00:00"/>
    <n v="6"/>
    <n v="3251"/>
  </r>
  <r>
    <x v="9"/>
    <x v="3"/>
    <x v="2"/>
    <s v="ElectroCity"/>
    <d v="2012-08-01T00:00:00"/>
    <n v="21"/>
    <n v="6710"/>
  </r>
  <r>
    <x v="9"/>
    <x v="1"/>
    <x v="0"/>
    <s v="Kitchen Center"/>
    <d v="2012-06-17T00:00:00"/>
    <n v="7"/>
    <n v="3834"/>
  </r>
  <r>
    <x v="6"/>
    <x v="4"/>
    <x v="1"/>
    <s v="Home USA"/>
    <d v="2013-08-30T00:00:00"/>
    <n v="8"/>
    <n v="2574"/>
  </r>
  <r>
    <x v="10"/>
    <x v="4"/>
    <x v="3"/>
    <s v="Home Emporium"/>
    <d v="2012-06-21T00:00:00"/>
    <n v="11"/>
    <n v="3696"/>
  </r>
  <r>
    <x v="0"/>
    <x v="3"/>
    <x v="1"/>
    <s v="Home USA"/>
    <d v="2013-03-22T00:00:00"/>
    <n v="10"/>
    <n v="3641"/>
  </r>
  <r>
    <x v="10"/>
    <x v="4"/>
    <x v="1"/>
    <s v="ElectroCity"/>
    <d v="2012-09-01T00:00:00"/>
    <n v="12"/>
    <n v="6353"/>
  </r>
  <r>
    <x v="0"/>
    <x v="4"/>
    <x v="2"/>
    <s v="Home Emporium"/>
    <d v="2013-11-06T00:00:00"/>
    <n v="2"/>
    <n v="633"/>
  </r>
  <r>
    <x v="1"/>
    <x v="2"/>
    <x v="3"/>
    <s v="Home USA"/>
    <d v="2012-10-12T00:00:00"/>
    <n v="4"/>
    <n v="1144"/>
  </r>
  <r>
    <x v="3"/>
    <x v="2"/>
    <x v="3"/>
    <s v="Kitchen Center"/>
    <d v="2013-11-13T00:00:00"/>
    <n v="4"/>
    <n v="1133"/>
  </r>
  <r>
    <x v="4"/>
    <x v="0"/>
    <x v="2"/>
    <s v="Home USA"/>
    <d v="2013-06-25T00:00:00"/>
    <n v="3"/>
    <n v="979"/>
  </r>
  <r>
    <x v="3"/>
    <x v="1"/>
    <x v="3"/>
    <s v="ElectroCity"/>
    <d v="2012-06-15T00:00:00"/>
    <n v="20"/>
    <n v="11787"/>
  </r>
  <r>
    <x v="1"/>
    <x v="1"/>
    <x v="1"/>
    <s v="Appliance Mart"/>
    <d v="2013-12-06T00:00:00"/>
    <n v="15"/>
    <n v="4818"/>
  </r>
  <r>
    <x v="8"/>
    <x v="4"/>
    <x v="0"/>
    <s v="Home USA"/>
    <d v="2013-07-10T00:00:00"/>
    <n v="13"/>
    <n v="5137"/>
  </r>
  <r>
    <x v="11"/>
    <x v="3"/>
    <x v="1"/>
    <s v="Kitchen Center"/>
    <d v="2013-05-15T00:00:00"/>
    <n v="14"/>
    <n v="7909"/>
  </r>
  <r>
    <x v="0"/>
    <x v="3"/>
    <x v="2"/>
    <s v="Appliance Mart"/>
    <d v="2013-09-04T00:00:00"/>
    <n v="2"/>
    <n v="418"/>
  </r>
  <r>
    <x v="6"/>
    <x v="0"/>
    <x v="3"/>
    <s v="ElectroCity"/>
    <d v="2012-02-02T00:00:00"/>
    <n v="8"/>
    <n v="2618"/>
  </r>
  <r>
    <x v="10"/>
    <x v="4"/>
    <x v="1"/>
    <s v="Kitchen Center"/>
    <d v="2012-03-14T00:00:00"/>
    <n v="2"/>
    <n v="561"/>
  </r>
  <r>
    <x v="3"/>
    <x v="3"/>
    <x v="2"/>
    <s v="Appliance Mart"/>
    <d v="2013-01-13T00:00:00"/>
    <n v="16"/>
    <n v="7673"/>
  </r>
  <r>
    <x v="10"/>
    <x v="2"/>
    <x v="1"/>
    <s v="Kitchen Center"/>
    <d v="2013-08-11T00:00:00"/>
    <n v="16"/>
    <n v="7145"/>
  </r>
  <r>
    <x v="6"/>
    <x v="1"/>
    <x v="2"/>
    <s v="Home Emporium"/>
    <d v="2013-02-07T00:00:00"/>
    <n v="12"/>
    <n v="4065"/>
  </r>
  <r>
    <x v="11"/>
    <x v="2"/>
    <x v="2"/>
    <s v="Kitchen Center"/>
    <d v="2012-10-18T00:00:00"/>
    <n v="3"/>
    <n v="1122"/>
  </r>
  <r>
    <x v="10"/>
    <x v="4"/>
    <x v="0"/>
    <s v="Home Emporium"/>
    <d v="2012-08-19T00:00:00"/>
    <n v="10"/>
    <n v="5258"/>
  </r>
  <r>
    <x v="10"/>
    <x v="1"/>
    <x v="0"/>
    <s v="ElectroCity"/>
    <d v="2012-12-30T00:00:00"/>
    <n v="19"/>
    <n v="11210"/>
  </r>
  <r>
    <x v="10"/>
    <x v="1"/>
    <x v="0"/>
    <s v="ElectroCity"/>
    <d v="2012-12-12T00:00:00"/>
    <n v="14"/>
    <n v="6604"/>
  </r>
  <r>
    <x v="6"/>
    <x v="1"/>
    <x v="1"/>
    <s v="Home USA"/>
    <d v="2013-05-22T00:00:00"/>
    <n v="5"/>
    <n v="1733"/>
  </r>
  <r>
    <x v="3"/>
    <x v="1"/>
    <x v="3"/>
    <s v="Home USA"/>
    <d v="2013-07-23T00:00:00"/>
    <n v="11"/>
    <n v="5610"/>
  </r>
  <r>
    <x v="11"/>
    <x v="2"/>
    <x v="3"/>
    <s v="ElectroCity"/>
    <d v="2012-07-28T00:00:00"/>
    <n v="12"/>
    <n v="5496"/>
  </r>
  <r>
    <x v="10"/>
    <x v="4"/>
    <x v="1"/>
    <s v="ElectroCity"/>
    <d v="2012-02-15T00:00:00"/>
    <n v="21"/>
    <n v="7084"/>
  </r>
  <r>
    <x v="2"/>
    <x v="1"/>
    <x v="2"/>
    <s v="Home Emporium"/>
    <d v="2012-11-16T00:00:00"/>
    <n v="6"/>
    <n v="2145"/>
  </r>
  <r>
    <x v="9"/>
    <x v="4"/>
    <x v="2"/>
    <s v="Appliance Mart"/>
    <d v="2012-09-05T00:00:00"/>
    <n v="14"/>
    <n v="6133"/>
  </r>
  <r>
    <x v="1"/>
    <x v="1"/>
    <x v="0"/>
    <s v="ElectroCity"/>
    <d v="2013-03-24T00:00:00"/>
    <n v="8"/>
    <n v="4601"/>
  </r>
  <r>
    <x v="5"/>
    <x v="3"/>
    <x v="2"/>
    <s v="Appliance Mart"/>
    <d v="2012-02-29T00:00:00"/>
    <n v="5"/>
    <n v="1920"/>
  </r>
  <r>
    <x v="3"/>
    <x v="2"/>
    <x v="3"/>
    <s v="Kitchen Center"/>
    <d v="2012-09-08T00:00:00"/>
    <n v="11"/>
    <n v="5368"/>
  </r>
  <r>
    <x v="5"/>
    <x v="4"/>
    <x v="2"/>
    <s v="Home USA"/>
    <d v="2012-04-05T00:00:00"/>
    <n v="14"/>
    <n v="7964"/>
  </r>
  <r>
    <x v="3"/>
    <x v="2"/>
    <x v="1"/>
    <s v="ElectroCity"/>
    <d v="2012-06-09T00:00:00"/>
    <n v="19"/>
    <n v="6359"/>
  </r>
  <r>
    <x v="6"/>
    <x v="3"/>
    <x v="1"/>
    <s v="Home Emporium"/>
    <d v="2013-05-24T00:00:00"/>
    <n v="14"/>
    <n v="7062"/>
  </r>
  <r>
    <x v="2"/>
    <x v="4"/>
    <x v="2"/>
    <s v="Kitchen Center"/>
    <d v="2013-11-29T00:00:00"/>
    <n v="6"/>
    <n v="2899"/>
  </r>
  <r>
    <x v="1"/>
    <x v="3"/>
    <x v="2"/>
    <s v="Home Emporium"/>
    <d v="2012-12-09T00:00:00"/>
    <n v="2"/>
    <n v="369"/>
  </r>
  <r>
    <x v="3"/>
    <x v="0"/>
    <x v="3"/>
    <s v="ElectroCity"/>
    <d v="2012-02-02T00:00:00"/>
    <n v="12"/>
    <n v="5667"/>
  </r>
  <r>
    <x v="1"/>
    <x v="2"/>
    <x v="0"/>
    <s v="ElectroCity"/>
    <d v="2012-08-30T00:00:00"/>
    <n v="12"/>
    <n v="4104"/>
  </r>
  <r>
    <x v="6"/>
    <x v="1"/>
    <x v="1"/>
    <s v="Home Emporium"/>
    <d v="2012-06-10T00:00:00"/>
    <n v="11"/>
    <n v="4103"/>
  </r>
  <r>
    <x v="4"/>
    <x v="2"/>
    <x v="2"/>
    <s v="Appliance Mart"/>
    <d v="2012-08-05T00:00:00"/>
    <n v="15"/>
    <n v="6853"/>
  </r>
  <r>
    <x v="3"/>
    <x v="1"/>
    <x v="0"/>
    <s v="Home USA"/>
    <d v="2013-04-13T00:00:00"/>
    <n v="14"/>
    <n v="5192"/>
  </r>
  <r>
    <x v="0"/>
    <x v="3"/>
    <x v="0"/>
    <s v="Appliance Mart"/>
    <d v="2013-10-02T00:00:00"/>
    <n v="2"/>
    <n v="473"/>
  </r>
  <r>
    <x v="6"/>
    <x v="4"/>
    <x v="0"/>
    <s v="ElectroCity"/>
    <d v="2013-05-14T00:00:00"/>
    <n v="18"/>
    <n v="5999"/>
  </r>
  <r>
    <x v="10"/>
    <x v="0"/>
    <x v="2"/>
    <s v="Kitchen Center"/>
    <d v="2012-06-21T00:00:00"/>
    <n v="9"/>
    <n v="5121"/>
  </r>
  <r>
    <x v="9"/>
    <x v="1"/>
    <x v="1"/>
    <s v="ElectroCity"/>
    <d v="2013-06-20T00:00:00"/>
    <n v="18"/>
    <n v="10940"/>
  </r>
  <r>
    <x v="7"/>
    <x v="2"/>
    <x v="3"/>
    <s v="Appliance Mart"/>
    <d v="2013-09-18T00:00:00"/>
    <n v="9"/>
    <n v="3108"/>
  </r>
  <r>
    <x v="9"/>
    <x v="0"/>
    <x v="0"/>
    <s v="Home Emporium"/>
    <d v="2013-05-05T00:00:00"/>
    <n v="3"/>
    <n v="825"/>
  </r>
  <r>
    <x v="8"/>
    <x v="2"/>
    <x v="3"/>
    <s v="Home USA"/>
    <d v="2013-06-25T00:00:00"/>
    <n v="16"/>
    <n v="9669"/>
  </r>
  <r>
    <x v="5"/>
    <x v="4"/>
    <x v="0"/>
    <s v="Appliance Mart"/>
    <d v="2013-01-10T00:00:00"/>
    <n v="13"/>
    <n v="4065"/>
  </r>
  <r>
    <x v="2"/>
    <x v="1"/>
    <x v="2"/>
    <s v="Appliance Mart"/>
    <d v="2013-01-06T00:00:00"/>
    <n v="9"/>
    <n v="4169"/>
  </r>
  <r>
    <x v="6"/>
    <x v="2"/>
    <x v="0"/>
    <s v="ElectroCity"/>
    <d v="2012-01-24T00:00:00"/>
    <n v="8"/>
    <n v="3273"/>
  </r>
  <r>
    <x v="11"/>
    <x v="2"/>
    <x v="3"/>
    <s v="Home USA"/>
    <d v="2012-11-28T00:00:00"/>
    <n v="15"/>
    <n v="8239"/>
  </r>
  <r>
    <x v="4"/>
    <x v="3"/>
    <x v="1"/>
    <s v="ElectroCity"/>
    <d v="2013-06-01T00:00:00"/>
    <n v="7"/>
    <n v="2112"/>
  </r>
  <r>
    <x v="5"/>
    <x v="0"/>
    <x v="1"/>
    <s v="Home USA"/>
    <d v="2013-05-15T00:00:00"/>
    <n v="9"/>
    <n v="4004"/>
  </r>
  <r>
    <x v="8"/>
    <x v="4"/>
    <x v="2"/>
    <s v="ElectroCity"/>
    <d v="2012-06-24T00:00:00"/>
    <n v="13"/>
    <n v="7468"/>
  </r>
  <r>
    <x v="11"/>
    <x v="3"/>
    <x v="3"/>
    <s v="Home USA"/>
    <d v="2012-12-06T00:00:00"/>
    <n v="16"/>
    <n v="8300"/>
  </r>
  <r>
    <x v="5"/>
    <x v="1"/>
    <x v="1"/>
    <s v="Kitchen Center"/>
    <d v="2013-01-07T00:00:00"/>
    <n v="8"/>
    <n v="4290"/>
  </r>
  <r>
    <x v="11"/>
    <x v="4"/>
    <x v="1"/>
    <s v="Home Emporium"/>
    <d v="2013-01-30T00:00:00"/>
    <n v="9"/>
    <n v="5247"/>
  </r>
  <r>
    <x v="5"/>
    <x v="4"/>
    <x v="1"/>
    <s v="Appliance Mart"/>
    <d v="2013-09-10T00:00:00"/>
    <n v="8"/>
    <n v="3278"/>
  </r>
  <r>
    <x v="11"/>
    <x v="3"/>
    <x v="1"/>
    <s v="Home Emporium"/>
    <d v="2013-12-10T00:00:00"/>
    <n v="7"/>
    <n v="2734"/>
  </r>
  <r>
    <x v="5"/>
    <x v="2"/>
    <x v="0"/>
    <s v="Kitchen Center"/>
    <d v="2012-10-04T00:00:00"/>
    <n v="7"/>
    <n v="3344"/>
  </r>
  <r>
    <x v="6"/>
    <x v="2"/>
    <x v="3"/>
    <s v="Kitchen Center"/>
    <d v="2013-09-18T00:00:00"/>
    <n v="7"/>
    <n v="3790"/>
  </r>
  <r>
    <x v="5"/>
    <x v="3"/>
    <x v="2"/>
    <s v="Appliance Mart"/>
    <d v="2012-11-29T00:00:00"/>
    <n v="10"/>
    <n v="4664"/>
  </r>
  <r>
    <x v="5"/>
    <x v="1"/>
    <x v="2"/>
    <s v="Kitchen Center"/>
    <d v="2012-05-04T00:00:00"/>
    <n v="7"/>
    <n v="3135"/>
  </r>
  <r>
    <x v="8"/>
    <x v="0"/>
    <x v="3"/>
    <s v="Kitchen Center"/>
    <d v="2013-01-17T00:00:00"/>
    <n v="9"/>
    <n v="4928"/>
  </r>
  <r>
    <x v="9"/>
    <x v="0"/>
    <x v="1"/>
    <s v="Home USA"/>
    <d v="2012-01-28T00:00:00"/>
    <n v="7"/>
    <n v="3685"/>
  </r>
  <r>
    <x v="11"/>
    <x v="1"/>
    <x v="0"/>
    <s v="Home USA"/>
    <d v="2012-11-11T00:00:00"/>
    <n v="4"/>
    <n v="1447"/>
  </r>
  <r>
    <x v="0"/>
    <x v="2"/>
    <x v="2"/>
    <s v="Appliance Mart"/>
    <d v="2013-12-04T00:00:00"/>
    <n v="8"/>
    <n v="3449"/>
  </r>
  <r>
    <x v="7"/>
    <x v="4"/>
    <x v="2"/>
    <s v="Home USA"/>
    <d v="2013-01-17T00:00:00"/>
    <n v="15"/>
    <n v="5885"/>
  </r>
  <r>
    <x v="5"/>
    <x v="2"/>
    <x v="2"/>
    <s v="ElectroCity"/>
    <d v="2013-10-22T00:00:00"/>
    <n v="17"/>
    <n v="10504"/>
  </r>
  <r>
    <x v="1"/>
    <x v="0"/>
    <x v="0"/>
    <s v="Home USA"/>
    <d v="2012-10-04T00:00:00"/>
    <n v="16"/>
    <n v="5973"/>
  </r>
  <r>
    <x v="1"/>
    <x v="2"/>
    <x v="3"/>
    <s v="ElectroCity"/>
    <d v="2013-01-25T00:00:00"/>
    <n v="18"/>
    <n v="8003"/>
  </r>
  <r>
    <x v="11"/>
    <x v="4"/>
    <x v="0"/>
    <s v="Home USA"/>
    <d v="2012-01-29T00:00:00"/>
    <n v="6"/>
    <n v="3256"/>
  </r>
  <r>
    <x v="2"/>
    <x v="0"/>
    <x v="1"/>
    <s v="Home Emporium"/>
    <d v="2012-12-13T00:00:00"/>
    <n v="3"/>
    <n v="957"/>
  </r>
  <r>
    <x v="0"/>
    <x v="3"/>
    <x v="0"/>
    <s v="Appliance Mart"/>
    <d v="2013-05-01T00:00:00"/>
    <n v="8"/>
    <n v="3163"/>
  </r>
  <r>
    <x v="2"/>
    <x v="0"/>
    <x v="2"/>
    <s v="Kitchen Center"/>
    <d v="2013-08-08T00:00:00"/>
    <n v="8"/>
    <n v="2948"/>
  </r>
  <r>
    <x v="7"/>
    <x v="2"/>
    <x v="3"/>
    <s v="Home USA"/>
    <d v="2013-03-06T00:00:00"/>
    <n v="13"/>
    <n v="6837"/>
  </r>
  <r>
    <x v="8"/>
    <x v="1"/>
    <x v="1"/>
    <s v="Home USA"/>
    <d v="2013-06-05T00:00:00"/>
    <n v="4"/>
    <n v="1947"/>
  </r>
  <r>
    <x v="3"/>
    <x v="2"/>
    <x v="3"/>
    <s v="Appliance Mart"/>
    <d v="2013-08-11T00:00:00"/>
    <n v="10"/>
    <n v="5324"/>
  </r>
  <r>
    <x v="7"/>
    <x v="0"/>
    <x v="2"/>
    <s v="Kitchen Center"/>
    <d v="2012-09-27T00:00:00"/>
    <n v="13"/>
    <n v="6639"/>
  </r>
  <r>
    <x v="7"/>
    <x v="2"/>
    <x v="3"/>
    <s v="Home Emporium"/>
    <d v="2013-04-03T00:00:00"/>
    <n v="11"/>
    <n v="4906"/>
  </r>
  <r>
    <x v="10"/>
    <x v="2"/>
    <x v="2"/>
    <s v="Appliance Mart"/>
    <d v="2012-07-25T00:00:00"/>
    <n v="4"/>
    <n v="1227"/>
  </r>
  <r>
    <x v="3"/>
    <x v="3"/>
    <x v="1"/>
    <s v="Appliance Mart"/>
    <d v="2013-05-21T00:00:00"/>
    <n v="15"/>
    <n v="5913"/>
  </r>
  <r>
    <x v="4"/>
    <x v="1"/>
    <x v="2"/>
    <s v="Home USA"/>
    <d v="2012-09-13T00:00:00"/>
    <n v="11"/>
    <n v="5159"/>
  </r>
  <r>
    <x v="2"/>
    <x v="3"/>
    <x v="0"/>
    <s v="Home Emporium"/>
    <d v="2013-03-26T00:00:00"/>
    <n v="15"/>
    <n v="8283"/>
  </r>
  <r>
    <x v="1"/>
    <x v="1"/>
    <x v="1"/>
    <s v="Appliance Mart"/>
    <d v="2013-11-08T00:00:00"/>
    <n v="8"/>
    <n v="3344"/>
  </r>
  <r>
    <x v="5"/>
    <x v="1"/>
    <x v="1"/>
    <s v="Appliance Mart"/>
    <d v="2012-02-15T00:00:00"/>
    <n v="10"/>
    <n v="3982"/>
  </r>
  <r>
    <x v="1"/>
    <x v="0"/>
    <x v="2"/>
    <s v="ElectroCity"/>
    <d v="2012-05-13T00:00:00"/>
    <n v="7"/>
    <n v="2739"/>
  </r>
  <r>
    <x v="6"/>
    <x v="2"/>
    <x v="2"/>
    <s v="Home Emporium"/>
    <d v="2012-11-24T00:00:00"/>
    <n v="10"/>
    <n v="4840"/>
  </r>
  <r>
    <x v="1"/>
    <x v="0"/>
    <x v="1"/>
    <s v="Kitchen Center"/>
    <d v="2012-05-10T00:00:00"/>
    <n v="12"/>
    <n v="6765"/>
  </r>
  <r>
    <x v="6"/>
    <x v="2"/>
    <x v="0"/>
    <s v="Appliance Mart"/>
    <d v="2013-02-18T00:00:00"/>
    <n v="7"/>
    <n v="2283"/>
  </r>
  <r>
    <x v="0"/>
    <x v="3"/>
    <x v="0"/>
    <s v="Home Emporium"/>
    <d v="2012-05-12T00:00:00"/>
    <n v="16"/>
    <n v="7442"/>
  </r>
  <r>
    <x v="2"/>
    <x v="2"/>
    <x v="2"/>
    <s v="Home Emporium"/>
    <d v="2012-04-01T00:00:00"/>
    <n v="4"/>
    <n v="1727"/>
  </r>
  <r>
    <x v="11"/>
    <x v="4"/>
    <x v="1"/>
    <s v="Kitchen Center"/>
    <d v="2012-10-19T00:00:00"/>
    <n v="13"/>
    <n v="7601"/>
  </r>
  <r>
    <x v="0"/>
    <x v="0"/>
    <x v="2"/>
    <s v="Kitchen Center"/>
    <d v="2012-11-01T00:00:00"/>
    <n v="7"/>
    <n v="2959"/>
  </r>
  <r>
    <x v="0"/>
    <x v="3"/>
    <x v="3"/>
    <s v="ElectroCity"/>
    <d v="2012-02-08T00:00:00"/>
    <n v="9"/>
    <n v="3138"/>
  </r>
  <r>
    <x v="1"/>
    <x v="4"/>
    <x v="1"/>
    <s v="Home Emporium"/>
    <d v="2013-05-08T00:00:00"/>
    <n v="16"/>
    <n v="7805"/>
  </r>
  <r>
    <x v="8"/>
    <x v="4"/>
    <x v="3"/>
    <s v="Kitchen Center"/>
    <d v="2012-11-15T00:00:00"/>
    <n v="11"/>
    <n v="5225"/>
  </r>
  <r>
    <x v="1"/>
    <x v="0"/>
    <x v="2"/>
    <s v="ElectroCity"/>
    <d v="2012-07-22T00:00:00"/>
    <n v="13"/>
    <n v="7788"/>
  </r>
  <r>
    <x v="7"/>
    <x v="4"/>
    <x v="3"/>
    <s v="Home USA"/>
    <d v="2013-06-26T00:00:00"/>
    <n v="9"/>
    <n v="2849"/>
  </r>
  <r>
    <x v="6"/>
    <x v="2"/>
    <x v="1"/>
    <s v="Kitchen Center"/>
    <d v="2013-05-25T00:00:00"/>
    <n v="10"/>
    <n v="4626"/>
  </r>
  <r>
    <x v="5"/>
    <x v="0"/>
    <x v="3"/>
    <s v="Kitchen Center"/>
    <d v="2013-03-27T00:00:00"/>
    <n v="11"/>
    <n v="3652"/>
  </r>
  <r>
    <x v="6"/>
    <x v="2"/>
    <x v="2"/>
    <s v="Appliance Mart"/>
    <d v="2012-09-10T00:00:00"/>
    <n v="6"/>
    <n v="2063"/>
  </r>
  <r>
    <x v="8"/>
    <x v="2"/>
    <x v="2"/>
    <s v="Appliance Mart"/>
    <d v="2012-12-23T00:00:00"/>
    <n v="4"/>
    <n v="1810"/>
  </r>
  <r>
    <x v="2"/>
    <x v="3"/>
    <x v="2"/>
    <s v="Home Emporium"/>
    <d v="2013-05-29T00:00:00"/>
    <n v="5"/>
    <n v="1469"/>
  </r>
  <r>
    <x v="8"/>
    <x v="0"/>
    <x v="1"/>
    <s v="Home USA"/>
    <d v="2013-10-30T00:00:00"/>
    <n v="12"/>
    <n v="6947"/>
  </r>
  <r>
    <x v="6"/>
    <x v="2"/>
    <x v="1"/>
    <s v="Home USA"/>
    <d v="2012-10-21T00:00:00"/>
    <n v="9"/>
    <n v="3724"/>
  </r>
  <r>
    <x v="0"/>
    <x v="3"/>
    <x v="1"/>
    <s v="Home USA"/>
    <d v="2013-11-15T00:00:00"/>
    <n v="4"/>
    <n v="1579"/>
  </r>
  <r>
    <x v="8"/>
    <x v="2"/>
    <x v="3"/>
    <s v="Home Emporium"/>
    <d v="2012-10-04T00:00:00"/>
    <n v="2"/>
    <n v="649"/>
  </r>
  <r>
    <x v="11"/>
    <x v="0"/>
    <x v="1"/>
    <s v="Appliance Mart"/>
    <d v="2012-10-18T00:00:00"/>
    <n v="7"/>
    <n v="3042"/>
  </r>
  <r>
    <x v="4"/>
    <x v="4"/>
    <x v="2"/>
    <s v="Home USA"/>
    <d v="2013-02-02T00:00:00"/>
    <n v="4"/>
    <n v="1084"/>
  </r>
  <r>
    <x v="2"/>
    <x v="2"/>
    <x v="3"/>
    <s v="Appliance Mart"/>
    <d v="2013-10-19T00:00:00"/>
    <n v="7"/>
    <n v="2052"/>
  </r>
  <r>
    <x v="9"/>
    <x v="2"/>
    <x v="1"/>
    <s v="Home USA"/>
    <d v="2013-11-19T00:00:00"/>
    <n v="9"/>
    <n v="4521"/>
  </r>
  <r>
    <x v="5"/>
    <x v="3"/>
    <x v="0"/>
    <s v="Kitchen Center"/>
    <d v="2013-05-10T00:00:00"/>
    <n v="3"/>
    <n v="831"/>
  </r>
  <r>
    <x v="2"/>
    <x v="2"/>
    <x v="2"/>
    <s v="Appliance Mart"/>
    <d v="2013-01-03T00:00:00"/>
    <n v="12"/>
    <n v="6694"/>
  </r>
  <r>
    <x v="5"/>
    <x v="4"/>
    <x v="0"/>
    <s v="Home USA"/>
    <d v="2013-01-26T00:00:00"/>
    <n v="3"/>
    <n v="1117"/>
  </r>
  <r>
    <x v="5"/>
    <x v="0"/>
    <x v="0"/>
    <s v="Home Emporium"/>
    <d v="2012-05-14T00:00:00"/>
    <n v="13"/>
    <n v="4290"/>
  </r>
  <r>
    <x v="9"/>
    <x v="1"/>
    <x v="1"/>
    <s v="ElectroCity"/>
    <d v="2013-03-28T00:00:00"/>
    <n v="13"/>
    <n v="4385"/>
  </r>
  <r>
    <x v="1"/>
    <x v="1"/>
    <x v="2"/>
    <s v="Appliance Mart"/>
    <d v="2012-08-15T00:00:00"/>
    <n v="2"/>
    <n v="655"/>
  </r>
  <r>
    <x v="11"/>
    <x v="4"/>
    <x v="0"/>
    <s v="Home Emporium"/>
    <d v="2012-06-04T00:00:00"/>
    <n v="7"/>
    <n v="3273"/>
  </r>
  <r>
    <x v="5"/>
    <x v="2"/>
    <x v="3"/>
    <s v="Appliance Mart"/>
    <d v="2012-10-18T00:00:00"/>
    <n v="8"/>
    <n v="4026"/>
  </r>
  <r>
    <x v="4"/>
    <x v="2"/>
    <x v="3"/>
    <s v="ElectroCity"/>
    <d v="2012-05-16T00:00:00"/>
    <n v="16"/>
    <n v="9042"/>
  </r>
  <r>
    <x v="10"/>
    <x v="4"/>
    <x v="1"/>
    <s v="Appliance Mart"/>
    <d v="2012-05-24T00:00:00"/>
    <n v="2"/>
    <n v="506"/>
  </r>
  <r>
    <x v="6"/>
    <x v="3"/>
    <x v="1"/>
    <s v="ElectroCity"/>
    <d v="2013-11-03T00:00:00"/>
    <n v="10"/>
    <n v="3441"/>
  </r>
  <r>
    <x v="5"/>
    <x v="0"/>
    <x v="2"/>
    <s v="Appliance Mart"/>
    <d v="2013-03-09T00:00:00"/>
    <n v="14"/>
    <n v="5506"/>
  </r>
  <r>
    <x v="1"/>
    <x v="4"/>
    <x v="3"/>
    <s v="Appliance Mart"/>
    <d v="2012-01-12T00:00:00"/>
    <n v="12"/>
    <n v="4499"/>
  </r>
  <r>
    <x v="5"/>
    <x v="1"/>
    <x v="3"/>
    <s v="Kitchen Center"/>
    <d v="2012-09-20T00:00:00"/>
    <n v="5"/>
    <n v="2277"/>
  </r>
  <r>
    <x v="9"/>
    <x v="3"/>
    <x v="2"/>
    <s v="Appliance Mart"/>
    <d v="2013-12-20T00:00:00"/>
    <n v="4"/>
    <n v="1309"/>
  </r>
  <r>
    <x v="1"/>
    <x v="1"/>
    <x v="3"/>
    <s v="Home Emporium"/>
    <d v="2013-10-03T00:00:00"/>
    <n v="16"/>
    <n v="9488"/>
  </r>
  <r>
    <x v="2"/>
    <x v="1"/>
    <x v="0"/>
    <s v="Home USA"/>
    <d v="2012-12-19T00:00:00"/>
    <n v="7"/>
    <n v="3795"/>
  </r>
  <r>
    <x v="0"/>
    <x v="2"/>
    <x v="3"/>
    <s v="Home Emporium"/>
    <d v="2012-05-23T00:00:00"/>
    <n v="4"/>
    <n v="1804"/>
  </r>
  <r>
    <x v="10"/>
    <x v="0"/>
    <x v="3"/>
    <s v="Home USA"/>
    <d v="2012-11-15T00:00:00"/>
    <n v="11"/>
    <n v="4202"/>
  </r>
  <r>
    <x v="3"/>
    <x v="2"/>
    <x v="3"/>
    <s v="Appliance Mart"/>
    <d v="2013-11-09T00:00:00"/>
    <n v="11"/>
    <n v="6369"/>
  </r>
  <r>
    <x v="11"/>
    <x v="0"/>
    <x v="3"/>
    <s v="Appliance Mart"/>
    <d v="2012-07-12T00:00:00"/>
    <n v="7"/>
    <n v="3097"/>
  </r>
  <r>
    <x v="7"/>
    <x v="0"/>
    <x v="2"/>
    <s v="ElectroCity"/>
    <d v="2013-02-01T00:00:00"/>
    <n v="13"/>
    <n v="5864"/>
  </r>
  <r>
    <x v="1"/>
    <x v="3"/>
    <x v="2"/>
    <s v="ElectroCity"/>
    <d v="2012-09-02T00:00:00"/>
    <n v="10"/>
    <n v="4158"/>
  </r>
  <r>
    <x v="1"/>
    <x v="4"/>
    <x v="0"/>
    <s v="Home Emporium"/>
    <d v="2013-10-02T00:00:00"/>
    <n v="16"/>
    <n v="5924"/>
  </r>
  <r>
    <x v="5"/>
    <x v="4"/>
    <x v="0"/>
    <s v="Home Emporium"/>
    <d v="2012-11-19T00:00:00"/>
    <n v="5"/>
    <n v="1738"/>
  </r>
  <r>
    <x v="0"/>
    <x v="1"/>
    <x v="2"/>
    <s v="Home USA"/>
    <d v="2012-04-11T00:00:00"/>
    <n v="5"/>
    <n v="1826"/>
  </r>
  <r>
    <x v="5"/>
    <x v="4"/>
    <x v="3"/>
    <s v="Appliance Mart"/>
    <d v="2012-04-06T00:00:00"/>
    <n v="14"/>
    <n v="5489"/>
  </r>
  <r>
    <x v="4"/>
    <x v="2"/>
    <x v="1"/>
    <s v="Home Emporium"/>
    <d v="2013-01-20T00:00:00"/>
    <n v="12"/>
    <n v="6353"/>
  </r>
  <r>
    <x v="4"/>
    <x v="1"/>
    <x v="0"/>
    <s v="Appliance Mart"/>
    <d v="2013-01-17T00:00:00"/>
    <n v="4"/>
    <n v="1810"/>
  </r>
  <r>
    <x v="2"/>
    <x v="4"/>
    <x v="1"/>
    <s v="ElectroCity"/>
    <d v="2012-11-08T00:00:00"/>
    <n v="11"/>
    <n v="3597"/>
  </r>
  <r>
    <x v="6"/>
    <x v="4"/>
    <x v="0"/>
    <s v="Home USA"/>
    <d v="2013-03-14T00:00:00"/>
    <n v="10"/>
    <n v="3834"/>
  </r>
  <r>
    <x v="2"/>
    <x v="0"/>
    <x v="2"/>
    <s v="Appliance Mart"/>
    <d v="2013-08-02T00:00:00"/>
    <n v="11"/>
    <n v="4499"/>
  </r>
  <r>
    <x v="4"/>
    <x v="0"/>
    <x v="1"/>
    <s v="Kitchen Center"/>
    <d v="2012-10-24T00:00:00"/>
    <n v="6"/>
    <n v="2794"/>
  </r>
  <r>
    <x v="1"/>
    <x v="2"/>
    <x v="3"/>
    <s v="ElectroCity"/>
    <d v="2012-10-11T00:00:00"/>
    <n v="14"/>
    <n v="4433"/>
  </r>
  <r>
    <x v="11"/>
    <x v="4"/>
    <x v="2"/>
    <s v="Home Emporium"/>
    <d v="2012-08-26T00:00:00"/>
    <n v="13"/>
    <n v="7695"/>
  </r>
  <r>
    <x v="5"/>
    <x v="3"/>
    <x v="1"/>
    <s v="Appliance Mart"/>
    <d v="2012-10-17T00:00:00"/>
    <n v="8"/>
    <n v="3240"/>
  </r>
  <r>
    <x v="11"/>
    <x v="0"/>
    <x v="1"/>
    <s v="Home USA"/>
    <d v="2013-07-05T00:00:00"/>
    <n v="7"/>
    <n v="2250"/>
  </r>
  <r>
    <x v="9"/>
    <x v="2"/>
    <x v="2"/>
    <s v="Home USA"/>
    <d v="2012-08-22T00:00:00"/>
    <n v="6"/>
    <n v="1832"/>
  </r>
  <r>
    <x v="8"/>
    <x v="4"/>
    <x v="1"/>
    <s v="ElectroCity"/>
    <d v="2013-09-28T00:00:00"/>
    <n v="20"/>
    <n v="6733"/>
  </r>
  <r>
    <x v="3"/>
    <x v="2"/>
    <x v="0"/>
    <s v="Home Emporium"/>
    <d v="2012-05-07T00:00:00"/>
    <n v="16"/>
    <n v="8382"/>
  </r>
  <r>
    <x v="5"/>
    <x v="2"/>
    <x v="0"/>
    <s v="Home Emporium"/>
    <d v="2013-04-19T00:00:00"/>
    <n v="3"/>
    <n v="935"/>
  </r>
  <r>
    <x v="0"/>
    <x v="0"/>
    <x v="2"/>
    <s v="Home Emporium"/>
    <d v="2013-03-06T00:00:00"/>
    <n v="3"/>
    <n v="1166"/>
  </r>
  <r>
    <x v="3"/>
    <x v="1"/>
    <x v="2"/>
    <s v="Home Emporium"/>
    <d v="2013-11-27T00:00:00"/>
    <n v="16"/>
    <n v="8514"/>
  </r>
  <r>
    <x v="3"/>
    <x v="1"/>
    <x v="0"/>
    <s v="ElectroCity"/>
    <d v="2013-10-29T00:00:00"/>
    <n v="9"/>
    <n v="5148"/>
  </r>
  <r>
    <x v="0"/>
    <x v="4"/>
    <x v="1"/>
    <s v="Home USA"/>
    <d v="2012-03-01T00:00:00"/>
    <n v="11"/>
    <n v="4290"/>
  </r>
  <r>
    <x v="1"/>
    <x v="2"/>
    <x v="3"/>
    <s v="Kitchen Center"/>
    <d v="2013-10-30T00:00:00"/>
    <n v="12"/>
    <n v="6738"/>
  </r>
  <r>
    <x v="1"/>
    <x v="4"/>
    <x v="0"/>
    <s v="Home USA"/>
    <d v="2012-06-18T00:00:00"/>
    <n v="4"/>
    <n v="1810"/>
  </r>
  <r>
    <x v="8"/>
    <x v="0"/>
    <x v="1"/>
    <s v="Home Emporium"/>
    <d v="2013-08-17T00:00:00"/>
    <n v="2"/>
    <n v="583"/>
  </r>
  <r>
    <x v="7"/>
    <x v="0"/>
    <x v="2"/>
    <s v="Kitchen Center"/>
    <d v="2012-04-02T00:00:00"/>
    <n v="6"/>
    <n v="2877"/>
  </r>
  <r>
    <x v="2"/>
    <x v="4"/>
    <x v="3"/>
    <s v="Home Emporium"/>
    <d v="2013-03-06T00:00:00"/>
    <n v="3"/>
    <n v="693"/>
  </r>
  <r>
    <x v="2"/>
    <x v="2"/>
    <x v="1"/>
    <s v="Home Emporium"/>
    <d v="2013-04-05T00:00:00"/>
    <n v="7"/>
    <n v="3179"/>
  </r>
  <r>
    <x v="4"/>
    <x v="3"/>
    <x v="3"/>
    <s v="Appliance Mart"/>
    <d v="2013-04-17T00:00:00"/>
    <n v="2"/>
    <n v="633"/>
  </r>
  <r>
    <x v="11"/>
    <x v="0"/>
    <x v="1"/>
    <s v="Home USA"/>
    <d v="2013-01-13T00:00:00"/>
    <n v="13"/>
    <n v="7854"/>
  </r>
  <r>
    <x v="7"/>
    <x v="2"/>
    <x v="1"/>
    <s v="Appliance Mart"/>
    <d v="2012-08-15T00:00:00"/>
    <n v="4"/>
    <n v="1062"/>
  </r>
  <r>
    <x v="11"/>
    <x v="1"/>
    <x v="0"/>
    <s v="Appliance Mart"/>
    <d v="2012-09-17T00:00:00"/>
    <n v="11"/>
    <n v="4653"/>
  </r>
  <r>
    <x v="8"/>
    <x v="3"/>
    <x v="0"/>
    <s v="Home Emporium"/>
    <d v="2012-11-08T00:00:00"/>
    <n v="2"/>
    <n v="385"/>
  </r>
  <r>
    <x v="11"/>
    <x v="0"/>
    <x v="3"/>
    <s v="Kitchen Center"/>
    <d v="2012-03-14T00:00:00"/>
    <n v="12"/>
    <n v="5605"/>
  </r>
  <r>
    <x v="6"/>
    <x v="2"/>
    <x v="1"/>
    <s v="Home USA"/>
    <d v="2012-12-24T00:00:00"/>
    <n v="10"/>
    <n v="4109"/>
  </r>
  <r>
    <x v="0"/>
    <x v="0"/>
    <x v="2"/>
    <s v="Home Emporium"/>
    <d v="2013-02-07T00:00:00"/>
    <n v="8"/>
    <n v="2327"/>
  </r>
  <r>
    <x v="6"/>
    <x v="1"/>
    <x v="0"/>
    <s v="Kitchen Center"/>
    <d v="2013-11-14T00:00:00"/>
    <n v="4"/>
    <n v="1683"/>
  </r>
  <r>
    <x v="2"/>
    <x v="2"/>
    <x v="3"/>
    <s v="Home USA"/>
    <d v="2013-08-18T00:00:00"/>
    <n v="2"/>
    <n v="506"/>
  </r>
  <r>
    <x v="2"/>
    <x v="3"/>
    <x v="0"/>
    <s v="Kitchen Center"/>
    <d v="2013-04-28T00:00:00"/>
    <n v="2"/>
    <n v="385"/>
  </r>
  <r>
    <x v="8"/>
    <x v="3"/>
    <x v="2"/>
    <s v="Kitchen Center"/>
    <d v="2013-04-02T00:00:00"/>
    <n v="10"/>
    <n v="4879"/>
  </r>
  <r>
    <x v="6"/>
    <x v="0"/>
    <x v="0"/>
    <s v="Home Emporium"/>
    <d v="2012-02-19T00:00:00"/>
    <n v="13"/>
    <n v="5121"/>
  </r>
  <r>
    <x v="4"/>
    <x v="1"/>
    <x v="1"/>
    <s v="Appliance Mart"/>
    <d v="2012-03-12T00:00:00"/>
    <n v="12"/>
    <n v="5011"/>
  </r>
  <r>
    <x v="2"/>
    <x v="3"/>
    <x v="0"/>
    <s v="ElectroCity"/>
    <d v="2012-01-11T00:00:00"/>
    <n v="12"/>
    <n v="6635"/>
  </r>
  <r>
    <x v="1"/>
    <x v="1"/>
    <x v="2"/>
    <s v="Kitchen Center"/>
    <d v="2013-07-28T00:00:00"/>
    <n v="6"/>
    <n v="1881"/>
  </r>
  <r>
    <x v="2"/>
    <x v="2"/>
    <x v="2"/>
    <s v="Home USA"/>
    <d v="2013-09-27T00:00:00"/>
    <n v="10"/>
    <n v="3949"/>
  </r>
  <r>
    <x v="5"/>
    <x v="3"/>
    <x v="0"/>
    <s v="Kitchen Center"/>
    <d v="2012-08-23T00:00:00"/>
    <n v="4"/>
    <n v="1194"/>
  </r>
  <r>
    <x v="0"/>
    <x v="0"/>
    <x v="1"/>
    <s v="Kitchen Center"/>
    <d v="2012-10-26T00:00:00"/>
    <n v="6"/>
    <n v="2569"/>
  </r>
  <r>
    <x v="7"/>
    <x v="0"/>
    <x v="0"/>
    <s v="Home USA"/>
    <d v="2013-10-19T00:00:00"/>
    <n v="2"/>
    <n v="473"/>
  </r>
  <r>
    <x v="9"/>
    <x v="3"/>
    <x v="3"/>
    <s v="ElectroCity"/>
    <d v="2013-01-07T00:00:00"/>
    <n v="7"/>
    <n v="3201"/>
  </r>
  <r>
    <x v="0"/>
    <x v="1"/>
    <x v="1"/>
    <s v="Home Emporium"/>
    <d v="2012-03-17T00:00:00"/>
    <n v="10"/>
    <n v="4928"/>
  </r>
  <r>
    <x v="8"/>
    <x v="2"/>
    <x v="0"/>
    <s v="Kitchen Center"/>
    <d v="2013-10-03T00:00:00"/>
    <n v="2"/>
    <n v="611"/>
  </r>
  <r>
    <x v="1"/>
    <x v="1"/>
    <x v="0"/>
    <s v="Kitchen Center"/>
    <d v="2012-11-01T00:00:00"/>
    <n v="8"/>
    <n v="4021"/>
  </r>
  <r>
    <x v="1"/>
    <x v="0"/>
    <x v="1"/>
    <s v="Home Emporium"/>
    <d v="2013-03-23T00:00:00"/>
    <n v="5"/>
    <n v="1760"/>
  </r>
  <r>
    <x v="8"/>
    <x v="1"/>
    <x v="1"/>
    <s v="Appliance Mart"/>
    <d v="2012-06-30T00:00:00"/>
    <n v="12"/>
    <n v="5264"/>
  </r>
  <r>
    <x v="9"/>
    <x v="1"/>
    <x v="2"/>
    <s v="Home USA"/>
    <d v="2012-09-13T00:00:00"/>
    <n v="9"/>
    <n v="3273"/>
  </r>
  <r>
    <x v="2"/>
    <x v="4"/>
    <x v="1"/>
    <s v="Home USA"/>
    <d v="2012-04-21T00:00:00"/>
    <n v="8"/>
    <n v="4180"/>
  </r>
  <r>
    <x v="8"/>
    <x v="1"/>
    <x v="2"/>
    <s v="Appliance Mart"/>
    <d v="2013-12-05T00:00:00"/>
    <n v="6"/>
    <n v="1705"/>
  </r>
  <r>
    <x v="0"/>
    <x v="4"/>
    <x v="3"/>
    <s v="Home Emporium"/>
    <d v="2012-04-15T00:00:00"/>
    <n v="9"/>
    <n v="3768"/>
  </r>
  <r>
    <x v="6"/>
    <x v="3"/>
    <x v="1"/>
    <s v="Home Emporium"/>
    <d v="2013-09-24T00:00:00"/>
    <n v="11"/>
    <n v="4565"/>
  </r>
  <r>
    <x v="10"/>
    <x v="3"/>
    <x v="0"/>
    <s v="Appliance Mart"/>
    <d v="2012-11-25T00:00:00"/>
    <n v="4"/>
    <n v="1238"/>
  </r>
  <r>
    <x v="9"/>
    <x v="4"/>
    <x v="2"/>
    <s v="Home USA"/>
    <d v="2012-09-16T00:00:00"/>
    <n v="15"/>
    <n v="5126"/>
  </r>
  <r>
    <x v="5"/>
    <x v="3"/>
    <x v="0"/>
    <s v="ElectroCity"/>
    <d v="2012-05-21T00:00:00"/>
    <n v="10"/>
    <n v="3540"/>
  </r>
  <r>
    <x v="0"/>
    <x v="3"/>
    <x v="2"/>
    <s v="Home USA"/>
    <d v="2012-03-08T00:00:00"/>
    <n v="16"/>
    <n v="9339"/>
  </r>
  <r>
    <x v="10"/>
    <x v="4"/>
    <x v="1"/>
    <s v="Kitchen Center"/>
    <d v="2012-08-30T00:00:00"/>
    <n v="4"/>
    <n v="1667"/>
  </r>
  <r>
    <x v="10"/>
    <x v="0"/>
    <x v="1"/>
    <s v="Home USA"/>
    <d v="2012-09-02T00:00:00"/>
    <n v="2"/>
    <n v="545"/>
  </r>
  <r>
    <x v="1"/>
    <x v="2"/>
    <x v="1"/>
    <s v="ElectroCity"/>
    <d v="2013-12-11T00:00:00"/>
    <n v="12"/>
    <n v="4407"/>
  </r>
  <r>
    <x v="8"/>
    <x v="0"/>
    <x v="3"/>
    <s v="Home USA"/>
    <d v="2013-07-02T00:00:00"/>
    <n v="8"/>
    <n v="4384"/>
  </r>
  <r>
    <x v="2"/>
    <x v="4"/>
    <x v="1"/>
    <s v="Home Emporium"/>
    <d v="2013-07-03T00:00:00"/>
    <n v="15"/>
    <n v="5407"/>
  </r>
  <r>
    <x v="2"/>
    <x v="4"/>
    <x v="0"/>
    <s v="ElectroCity"/>
    <d v="2012-12-17T00:00:00"/>
    <n v="20"/>
    <n v="12018"/>
  </r>
  <r>
    <x v="4"/>
    <x v="3"/>
    <x v="0"/>
    <s v="Kitchen Center"/>
    <d v="2012-08-02T00:00:00"/>
    <n v="16"/>
    <n v="6782"/>
  </r>
  <r>
    <x v="1"/>
    <x v="3"/>
    <x v="0"/>
    <s v="Home Emporium"/>
    <d v="2012-12-21T00:00:00"/>
    <n v="13"/>
    <n v="6336"/>
  </r>
  <r>
    <x v="5"/>
    <x v="2"/>
    <x v="0"/>
    <s v="Kitchen Center"/>
    <d v="2013-01-10T00:00:00"/>
    <n v="2"/>
    <n v="380"/>
  </r>
  <r>
    <x v="0"/>
    <x v="3"/>
    <x v="1"/>
    <s v="Kitchen Center"/>
    <d v="2013-02-07T00:00:00"/>
    <n v="8"/>
    <n v="4213"/>
  </r>
  <r>
    <x v="11"/>
    <x v="4"/>
    <x v="2"/>
    <s v="Kitchen Center"/>
    <d v="2013-07-19T00:00:00"/>
    <n v="3"/>
    <n v="682"/>
  </r>
  <r>
    <x v="10"/>
    <x v="2"/>
    <x v="0"/>
    <s v="Kitchen Center"/>
    <d v="2013-11-20T00:00:00"/>
    <n v="11"/>
    <n v="5599"/>
  </r>
  <r>
    <x v="2"/>
    <x v="3"/>
    <x v="2"/>
    <s v="Home USA"/>
    <d v="2012-12-28T00:00:00"/>
    <n v="16"/>
    <n v="7112"/>
  </r>
  <r>
    <x v="5"/>
    <x v="3"/>
    <x v="0"/>
    <s v="Kitchen Center"/>
    <d v="2013-07-02T00:00:00"/>
    <n v="4"/>
    <n v="1656"/>
  </r>
  <r>
    <x v="4"/>
    <x v="1"/>
    <x v="1"/>
    <s v="Kitchen Center"/>
    <d v="2012-06-14T00:00:00"/>
    <n v="4"/>
    <n v="1909"/>
  </r>
  <r>
    <x v="11"/>
    <x v="3"/>
    <x v="3"/>
    <s v="Kitchen Center"/>
    <d v="2012-12-07T00:00:00"/>
    <n v="6"/>
    <n v="2690"/>
  </r>
  <r>
    <x v="0"/>
    <x v="2"/>
    <x v="3"/>
    <s v="ElectroCity"/>
    <d v="2013-11-30T00:00:00"/>
    <n v="14"/>
    <n v="7096"/>
  </r>
  <r>
    <x v="11"/>
    <x v="0"/>
    <x v="1"/>
    <s v="Home Emporium"/>
    <d v="2013-11-06T00:00:00"/>
    <n v="11"/>
    <n v="5071"/>
  </r>
  <r>
    <x v="7"/>
    <x v="2"/>
    <x v="2"/>
    <s v="Appliance Mart"/>
    <d v="2012-02-08T00:00:00"/>
    <n v="7"/>
    <n v="2871"/>
  </r>
  <r>
    <x v="1"/>
    <x v="3"/>
    <x v="2"/>
    <s v="Home USA"/>
    <d v="2012-04-07T00:00:00"/>
    <n v="4"/>
    <n v="1628"/>
  </r>
  <r>
    <x v="6"/>
    <x v="2"/>
    <x v="1"/>
    <s v="Kitchen Center"/>
    <d v="2013-06-07T00:00:00"/>
    <n v="10"/>
    <n v="5506"/>
  </r>
  <r>
    <x v="2"/>
    <x v="2"/>
    <x v="2"/>
    <s v="Home USA"/>
    <d v="2013-10-31T00:00:00"/>
    <n v="9"/>
    <n v="3009"/>
  </r>
  <r>
    <x v="6"/>
    <x v="4"/>
    <x v="2"/>
    <s v="Home USA"/>
    <d v="2013-07-10T00:00:00"/>
    <n v="9"/>
    <n v="4829"/>
  </r>
  <r>
    <x v="11"/>
    <x v="1"/>
    <x v="0"/>
    <s v="Kitchen Center"/>
    <d v="2013-04-26T00:00:00"/>
    <n v="10"/>
    <n v="5319"/>
  </r>
  <r>
    <x v="7"/>
    <x v="2"/>
    <x v="1"/>
    <s v="Kitchen Center"/>
    <d v="2012-10-27T00:00:00"/>
    <n v="16"/>
    <n v="5478"/>
  </r>
  <r>
    <x v="0"/>
    <x v="2"/>
    <x v="3"/>
    <s v="Home Emporium"/>
    <d v="2012-08-02T00:00:00"/>
    <n v="5"/>
    <n v="2206"/>
  </r>
  <r>
    <x v="0"/>
    <x v="3"/>
    <x v="1"/>
    <s v="Kitchen Center"/>
    <d v="2012-04-20T00:00:00"/>
    <n v="13"/>
    <n v="7799"/>
  </r>
  <r>
    <x v="6"/>
    <x v="0"/>
    <x v="2"/>
    <s v="Appliance Mart"/>
    <d v="2012-01-24T00:00:00"/>
    <n v="14"/>
    <n v="6105"/>
  </r>
  <r>
    <x v="8"/>
    <x v="4"/>
    <x v="2"/>
    <s v="Kitchen Center"/>
    <d v="2013-06-12T00:00:00"/>
    <n v="12"/>
    <n v="6919"/>
  </r>
  <r>
    <x v="3"/>
    <x v="3"/>
    <x v="2"/>
    <s v="ElectroCity"/>
    <d v="2013-04-07T00:00:00"/>
    <n v="9"/>
    <n v="4166"/>
  </r>
  <r>
    <x v="10"/>
    <x v="0"/>
    <x v="0"/>
    <s v="Home USA"/>
    <d v="2012-05-14T00:00:00"/>
    <n v="6"/>
    <n v="1931"/>
  </r>
  <r>
    <x v="7"/>
    <x v="2"/>
    <x v="3"/>
    <s v="Home USA"/>
    <d v="2013-12-11T00:00:00"/>
    <n v="6"/>
    <n v="3190"/>
  </r>
  <r>
    <x v="6"/>
    <x v="0"/>
    <x v="0"/>
    <s v="Kitchen Center"/>
    <d v="2013-05-21T00:00:00"/>
    <n v="11"/>
    <n v="6072"/>
  </r>
  <r>
    <x v="0"/>
    <x v="1"/>
    <x v="3"/>
    <s v="Kitchen Center"/>
    <d v="2013-03-20T00:00:00"/>
    <n v="11"/>
    <n v="4433"/>
  </r>
  <r>
    <x v="2"/>
    <x v="2"/>
    <x v="0"/>
    <s v="ElectroCity"/>
    <d v="2012-11-19T00:00:00"/>
    <n v="15"/>
    <n v="5793"/>
  </r>
  <r>
    <x v="2"/>
    <x v="3"/>
    <x v="0"/>
    <s v="Home Emporium"/>
    <d v="2013-09-01T00:00:00"/>
    <n v="4"/>
    <n v="1166"/>
  </r>
  <r>
    <x v="2"/>
    <x v="2"/>
    <x v="3"/>
    <s v="ElectroCity"/>
    <d v="2013-10-20T00:00:00"/>
    <n v="19"/>
    <n v="11424"/>
  </r>
  <r>
    <x v="3"/>
    <x v="3"/>
    <x v="0"/>
    <s v="Home Emporium"/>
    <d v="2013-09-04T00:00:00"/>
    <n v="16"/>
    <n v="9273"/>
  </r>
  <r>
    <x v="8"/>
    <x v="0"/>
    <x v="1"/>
    <s v="Appliance Mart"/>
    <d v="2012-12-13T00:00:00"/>
    <n v="10"/>
    <n v="4912"/>
  </r>
  <r>
    <x v="3"/>
    <x v="1"/>
    <x v="2"/>
    <s v="Home USA"/>
    <d v="2012-09-16T00:00:00"/>
    <n v="12"/>
    <n v="7211"/>
  </r>
  <r>
    <x v="10"/>
    <x v="0"/>
    <x v="1"/>
    <s v="Appliance Mart"/>
    <d v="2013-08-07T00:00:00"/>
    <n v="12"/>
    <n v="4153"/>
  </r>
  <r>
    <x v="1"/>
    <x v="3"/>
    <x v="3"/>
    <s v="Home Emporium"/>
    <d v="2012-12-30T00:00:00"/>
    <n v="16"/>
    <n v="7442"/>
  </r>
  <r>
    <x v="3"/>
    <x v="4"/>
    <x v="2"/>
    <s v="Appliance Mart"/>
    <d v="2012-03-15T00:00:00"/>
    <n v="6"/>
    <n v="1925"/>
  </r>
  <r>
    <x v="8"/>
    <x v="3"/>
    <x v="0"/>
    <s v="Appliance Mart"/>
    <d v="2013-12-07T00:00:00"/>
    <n v="13"/>
    <n v="7667"/>
  </r>
  <r>
    <x v="1"/>
    <x v="2"/>
    <x v="2"/>
    <s v="Kitchen Center"/>
    <d v="2012-04-21T00:00:00"/>
    <n v="8"/>
    <n v="3080"/>
  </r>
  <r>
    <x v="10"/>
    <x v="0"/>
    <x v="2"/>
    <s v="Home Emporium"/>
    <d v="2013-02-21T00:00:00"/>
    <n v="7"/>
    <n v="3768"/>
  </r>
  <r>
    <x v="6"/>
    <x v="0"/>
    <x v="3"/>
    <s v="ElectroCity"/>
    <d v="2013-12-08T00:00:00"/>
    <n v="12"/>
    <n v="7209"/>
  </r>
  <r>
    <x v="9"/>
    <x v="3"/>
    <x v="0"/>
    <s v="ElectroCity"/>
    <d v="2012-10-31T00:00:00"/>
    <n v="12"/>
    <n v="6030"/>
  </r>
  <r>
    <x v="3"/>
    <x v="4"/>
    <x v="3"/>
    <s v="Kitchen Center"/>
    <d v="2012-12-07T00:00:00"/>
    <n v="8"/>
    <n v="3971"/>
  </r>
  <r>
    <x v="9"/>
    <x v="1"/>
    <x v="3"/>
    <s v="ElectroCity"/>
    <d v="2013-06-19T00:00:00"/>
    <n v="20"/>
    <n v="10681"/>
  </r>
  <r>
    <x v="2"/>
    <x v="4"/>
    <x v="2"/>
    <s v="ElectroCity"/>
    <d v="2012-11-04T00:00:00"/>
    <n v="10"/>
    <n v="3490"/>
  </r>
  <r>
    <x v="9"/>
    <x v="0"/>
    <x v="1"/>
    <s v="ElectroCity"/>
    <d v="2012-11-25T00:00:00"/>
    <n v="18"/>
    <n v="10005"/>
  </r>
  <r>
    <x v="10"/>
    <x v="2"/>
    <x v="1"/>
    <s v="Home Emporium"/>
    <d v="2013-02-14T00:00:00"/>
    <n v="3"/>
    <n v="1029"/>
  </r>
  <r>
    <x v="8"/>
    <x v="1"/>
    <x v="0"/>
    <s v="Home USA"/>
    <d v="2013-01-24T00:00:00"/>
    <n v="12"/>
    <n v="6474"/>
  </r>
  <r>
    <x v="1"/>
    <x v="1"/>
    <x v="3"/>
    <s v="Appliance Mart"/>
    <d v="2013-08-31T00:00:00"/>
    <n v="14"/>
    <n v="5775"/>
  </r>
  <r>
    <x v="6"/>
    <x v="2"/>
    <x v="3"/>
    <s v="Kitchen Center"/>
    <d v="2013-01-10T00:00:00"/>
    <n v="16"/>
    <n v="9339"/>
  </r>
  <r>
    <x v="11"/>
    <x v="2"/>
    <x v="1"/>
    <s v="Home USA"/>
    <d v="2012-04-09T00:00:00"/>
    <n v="15"/>
    <n v="5423"/>
  </r>
  <r>
    <x v="0"/>
    <x v="1"/>
    <x v="3"/>
    <s v="Kitchen Center"/>
    <d v="2012-09-05T00:00:00"/>
    <n v="5"/>
    <n v="2321"/>
  </r>
  <r>
    <x v="4"/>
    <x v="4"/>
    <x v="3"/>
    <s v="Home Emporium"/>
    <d v="2012-12-20T00:00:00"/>
    <n v="4"/>
    <n v="1463"/>
  </r>
  <r>
    <x v="7"/>
    <x v="1"/>
    <x v="1"/>
    <s v="ElectroCity"/>
    <d v="2012-09-10T00:00:00"/>
    <n v="14"/>
    <n v="6596"/>
  </r>
  <r>
    <x v="8"/>
    <x v="1"/>
    <x v="0"/>
    <s v="Appliance Mart"/>
    <d v="2012-10-27T00:00:00"/>
    <n v="5"/>
    <n v="1320"/>
  </r>
  <r>
    <x v="1"/>
    <x v="0"/>
    <x v="3"/>
    <s v="Kitchen Center"/>
    <d v="2013-01-13T00:00:00"/>
    <n v="3"/>
    <n v="869"/>
  </r>
  <r>
    <x v="8"/>
    <x v="4"/>
    <x v="1"/>
    <s v="Home USA"/>
    <d v="2012-03-31T00:00:00"/>
    <n v="7"/>
    <n v="2123"/>
  </r>
  <r>
    <x v="6"/>
    <x v="1"/>
    <x v="0"/>
    <s v="Home Emporium"/>
    <d v="2012-05-23T00:00:00"/>
    <n v="11"/>
    <n v="4884"/>
  </r>
  <r>
    <x v="7"/>
    <x v="1"/>
    <x v="1"/>
    <s v="Home Emporium"/>
    <d v="2013-02-03T00:00:00"/>
    <n v="7"/>
    <n v="3509"/>
  </r>
  <r>
    <x v="10"/>
    <x v="2"/>
    <x v="1"/>
    <s v="Appliance Mart"/>
    <d v="2013-03-29T00:00:00"/>
    <n v="7"/>
    <n v="2904"/>
  </r>
  <r>
    <x v="6"/>
    <x v="3"/>
    <x v="3"/>
    <s v="Home USA"/>
    <d v="2013-11-06T00:00:00"/>
    <n v="14"/>
    <n v="7453"/>
  </r>
  <r>
    <x v="5"/>
    <x v="0"/>
    <x v="0"/>
    <s v="Home USA"/>
    <d v="2013-04-30T00:00:00"/>
    <n v="2"/>
    <n v="336"/>
  </r>
  <r>
    <x v="7"/>
    <x v="3"/>
    <x v="0"/>
    <s v="Kitchen Center"/>
    <d v="2013-12-11T00:00:00"/>
    <n v="6"/>
    <n v="2167"/>
  </r>
  <r>
    <x v="1"/>
    <x v="4"/>
    <x v="1"/>
    <s v="Kitchen Center"/>
    <d v="2013-08-10T00:00:00"/>
    <n v="9"/>
    <n v="3267"/>
  </r>
  <r>
    <x v="2"/>
    <x v="3"/>
    <x v="3"/>
    <s v="Home Emporium"/>
    <d v="2012-12-16T00:00:00"/>
    <n v="12"/>
    <n v="4477"/>
  </r>
  <r>
    <x v="7"/>
    <x v="3"/>
    <x v="0"/>
    <s v="Kitchen Center"/>
    <d v="2013-09-25T00:00:00"/>
    <n v="11"/>
    <n v="6512"/>
  </r>
  <r>
    <x v="1"/>
    <x v="0"/>
    <x v="2"/>
    <s v="Kitchen Center"/>
    <d v="2012-05-24T00:00:00"/>
    <n v="2"/>
    <n v="561"/>
  </r>
  <r>
    <x v="6"/>
    <x v="0"/>
    <x v="0"/>
    <s v="Home Emporium"/>
    <d v="2013-10-13T00:00:00"/>
    <n v="9"/>
    <n v="5264"/>
  </r>
  <r>
    <x v="11"/>
    <x v="2"/>
    <x v="3"/>
    <s v="ElectroCity"/>
    <d v="2012-04-05T00:00:00"/>
    <n v="19"/>
    <n v="9405"/>
  </r>
  <r>
    <x v="3"/>
    <x v="0"/>
    <x v="2"/>
    <s v="ElectroCity"/>
    <d v="2012-01-02T00:00:00"/>
    <n v="10"/>
    <n v="5433"/>
  </r>
  <r>
    <x v="1"/>
    <x v="3"/>
    <x v="3"/>
    <s v="Home USA"/>
    <d v="2013-12-24T00:00:00"/>
    <n v="9"/>
    <n v="4477"/>
  </r>
  <r>
    <x v="3"/>
    <x v="0"/>
    <x v="2"/>
    <s v="Kitchen Center"/>
    <d v="2012-06-24T00:00:00"/>
    <n v="5"/>
    <n v="2563"/>
  </r>
  <r>
    <x v="11"/>
    <x v="4"/>
    <x v="3"/>
    <s v="Appliance Mart"/>
    <d v="2013-07-03T00:00:00"/>
    <n v="4"/>
    <n v="1381"/>
  </r>
  <r>
    <x v="3"/>
    <x v="3"/>
    <x v="3"/>
    <s v="Home USA"/>
    <d v="2012-01-13T00:00:00"/>
    <n v="11"/>
    <n v="4356"/>
  </r>
  <r>
    <x v="4"/>
    <x v="1"/>
    <x v="0"/>
    <s v="Home USA"/>
    <d v="2012-09-15T00:00:00"/>
    <n v="14"/>
    <n v="7266"/>
  </r>
  <r>
    <x v="9"/>
    <x v="1"/>
    <x v="2"/>
    <s v="Home Emporium"/>
    <d v="2012-02-17T00:00:00"/>
    <n v="15"/>
    <n v="4945"/>
  </r>
  <r>
    <x v="6"/>
    <x v="2"/>
    <x v="2"/>
    <s v="ElectroCity"/>
    <d v="2013-12-10T00:00:00"/>
    <n v="14"/>
    <n v="7954"/>
  </r>
  <r>
    <x v="1"/>
    <x v="1"/>
    <x v="0"/>
    <s v="ElectroCity"/>
    <d v="2013-05-12T00:00:00"/>
    <n v="15"/>
    <n v="5793"/>
  </r>
  <r>
    <x v="8"/>
    <x v="2"/>
    <x v="2"/>
    <s v="Home USA"/>
    <d v="2013-04-27T00:00:00"/>
    <n v="5"/>
    <n v="1496"/>
  </r>
  <r>
    <x v="1"/>
    <x v="3"/>
    <x v="0"/>
    <s v="ElectroCity"/>
    <d v="2012-05-24T00:00:00"/>
    <n v="7"/>
    <n v="3267"/>
  </r>
  <r>
    <x v="3"/>
    <x v="3"/>
    <x v="2"/>
    <s v="Home USA"/>
    <d v="2012-02-12T00:00:00"/>
    <n v="12"/>
    <n v="3729"/>
  </r>
  <r>
    <x v="1"/>
    <x v="3"/>
    <x v="1"/>
    <s v="Kitchen Center"/>
    <d v="2012-09-08T00:00:00"/>
    <n v="5"/>
    <n v="2448"/>
  </r>
  <r>
    <x v="8"/>
    <x v="1"/>
    <x v="2"/>
    <s v="Appliance Mart"/>
    <d v="2012-01-26T00:00:00"/>
    <n v="11"/>
    <n v="5555"/>
  </r>
  <r>
    <x v="9"/>
    <x v="1"/>
    <x v="1"/>
    <s v="Home USA"/>
    <d v="2012-01-26T00:00:00"/>
    <n v="8"/>
    <n v="3768"/>
  </r>
  <r>
    <x v="2"/>
    <x v="1"/>
    <x v="1"/>
    <s v="Kitchen Center"/>
    <d v="2012-11-21T00:00:00"/>
    <n v="3"/>
    <n v="1144"/>
  </r>
  <r>
    <x v="10"/>
    <x v="3"/>
    <x v="2"/>
    <s v="ElectroCity"/>
    <d v="2013-05-24T00:00:00"/>
    <n v="18"/>
    <n v="6490"/>
  </r>
  <r>
    <x v="5"/>
    <x v="2"/>
    <x v="1"/>
    <s v="Home USA"/>
    <d v="2013-12-17T00:00:00"/>
    <n v="13"/>
    <n v="5357"/>
  </r>
  <r>
    <x v="11"/>
    <x v="2"/>
    <x v="2"/>
    <s v="Home USA"/>
    <d v="2012-04-11T00:00:00"/>
    <n v="5"/>
    <n v="2057"/>
  </r>
  <r>
    <x v="3"/>
    <x v="1"/>
    <x v="3"/>
    <s v="Kitchen Center"/>
    <d v="2012-04-25T00:00:00"/>
    <n v="9"/>
    <n v="3828"/>
  </r>
  <r>
    <x v="5"/>
    <x v="1"/>
    <x v="2"/>
    <s v="Appliance Mart"/>
    <d v="2012-01-06T00:00:00"/>
    <n v="14"/>
    <n v="5748"/>
  </r>
  <r>
    <x v="6"/>
    <x v="3"/>
    <x v="1"/>
    <s v="Home Emporium"/>
    <d v="2012-10-25T00:00:00"/>
    <n v="13"/>
    <n v="6364"/>
  </r>
  <r>
    <x v="5"/>
    <x v="4"/>
    <x v="0"/>
    <s v="Kitchen Center"/>
    <d v="2013-06-12T00:00:00"/>
    <n v="12"/>
    <n v="4609"/>
  </r>
  <r>
    <x v="8"/>
    <x v="1"/>
    <x v="0"/>
    <s v="Home Emporium"/>
    <d v="2013-05-29T00:00:00"/>
    <n v="11"/>
    <n v="5038"/>
  </r>
  <r>
    <x v="11"/>
    <x v="1"/>
    <x v="2"/>
    <s v="ElectroCity"/>
    <d v="2013-03-10T00:00:00"/>
    <n v="9"/>
    <n v="3584"/>
  </r>
  <r>
    <x v="3"/>
    <x v="4"/>
    <x v="2"/>
    <s v="Home USA"/>
    <d v="2012-08-30T00:00:00"/>
    <n v="3"/>
    <n v="853"/>
  </r>
  <r>
    <x v="0"/>
    <x v="4"/>
    <x v="1"/>
    <s v="Home Emporium"/>
    <d v="2013-02-03T00:00:00"/>
    <n v="2"/>
    <n v="391"/>
  </r>
  <r>
    <x v="1"/>
    <x v="4"/>
    <x v="0"/>
    <s v="Appliance Mart"/>
    <d v="2012-05-06T00:00:00"/>
    <n v="6"/>
    <n v="1766"/>
  </r>
  <r>
    <x v="2"/>
    <x v="0"/>
    <x v="0"/>
    <s v="ElectroCity"/>
    <d v="2013-12-19T00:00:00"/>
    <n v="19"/>
    <n v="6870"/>
  </r>
  <r>
    <x v="9"/>
    <x v="1"/>
    <x v="3"/>
    <s v="Home Emporium"/>
    <d v="2013-09-26T00:00:00"/>
    <n v="12"/>
    <n v="6644"/>
  </r>
  <r>
    <x v="4"/>
    <x v="1"/>
    <x v="0"/>
    <s v="Home USA"/>
    <d v="2012-03-29T00:00:00"/>
    <n v="8"/>
    <n v="3009"/>
  </r>
  <r>
    <x v="6"/>
    <x v="2"/>
    <x v="0"/>
    <s v="ElectroCity"/>
    <d v="2012-01-10T00:00:00"/>
    <n v="14"/>
    <n v="5675"/>
  </r>
  <r>
    <x v="7"/>
    <x v="1"/>
    <x v="0"/>
    <s v="Home Emporium"/>
    <d v="2012-05-07T00:00:00"/>
    <n v="7"/>
    <n v="3603"/>
  </r>
  <r>
    <x v="8"/>
    <x v="1"/>
    <x v="3"/>
    <s v="Appliance Mart"/>
    <d v="2012-10-28T00:00:00"/>
    <n v="11"/>
    <n v="5577"/>
  </r>
  <r>
    <x v="2"/>
    <x v="4"/>
    <x v="1"/>
    <s v="Appliance Mart"/>
    <d v="2013-06-26T00:00:00"/>
    <n v="5"/>
    <n v="1755"/>
  </r>
  <r>
    <x v="1"/>
    <x v="4"/>
    <x v="0"/>
    <s v="Appliance Mart"/>
    <d v="2012-10-12T00:00:00"/>
    <n v="5"/>
    <n v="2563"/>
  </r>
  <r>
    <x v="4"/>
    <x v="4"/>
    <x v="1"/>
    <s v="ElectroCity"/>
    <d v="2012-02-11T00:00:00"/>
    <n v="18"/>
    <n v="8003"/>
  </r>
  <r>
    <x v="6"/>
    <x v="0"/>
    <x v="3"/>
    <s v="Home Emporium"/>
    <d v="2012-03-09T00:00:00"/>
    <n v="10"/>
    <n v="4901"/>
  </r>
  <r>
    <x v="1"/>
    <x v="0"/>
    <x v="3"/>
    <s v="Kitchen Center"/>
    <d v="2013-07-20T00:00:00"/>
    <n v="7"/>
    <n v="3124"/>
  </r>
  <r>
    <x v="8"/>
    <x v="3"/>
    <x v="2"/>
    <s v="Home USA"/>
    <d v="2013-03-30T00:00:00"/>
    <n v="16"/>
    <n v="4983"/>
  </r>
  <r>
    <x v="2"/>
    <x v="3"/>
    <x v="0"/>
    <s v="Appliance Mart"/>
    <d v="2013-09-20T00:00:00"/>
    <n v="7"/>
    <n v="3471"/>
  </r>
  <r>
    <x v="8"/>
    <x v="4"/>
    <x v="1"/>
    <s v="Home Emporium"/>
    <d v="2013-06-21T00:00:00"/>
    <n v="16"/>
    <n v="5957"/>
  </r>
  <r>
    <x v="9"/>
    <x v="2"/>
    <x v="2"/>
    <s v="Appliance Mart"/>
    <d v="2012-07-21T00:00:00"/>
    <n v="15"/>
    <n v="4620"/>
  </r>
  <r>
    <x v="4"/>
    <x v="1"/>
    <x v="1"/>
    <s v="ElectroCity"/>
    <d v="2012-12-21T00:00:00"/>
    <n v="21"/>
    <n v="8624"/>
  </r>
  <r>
    <x v="2"/>
    <x v="3"/>
    <x v="0"/>
    <s v="ElectroCity"/>
    <d v="2013-12-08T00:00:00"/>
    <n v="7"/>
    <n v="3465"/>
  </r>
  <r>
    <x v="9"/>
    <x v="2"/>
    <x v="2"/>
    <s v="Home Emporium"/>
    <d v="2012-12-24T00:00:00"/>
    <n v="9"/>
    <n v="4692"/>
  </r>
  <r>
    <x v="8"/>
    <x v="0"/>
    <x v="1"/>
    <s v="Home Emporium"/>
    <d v="2013-05-08T00:00:00"/>
    <n v="13"/>
    <n v="5555"/>
  </r>
  <r>
    <x v="11"/>
    <x v="2"/>
    <x v="1"/>
    <s v="Home Emporium"/>
    <d v="2012-09-16T00:00:00"/>
    <n v="16"/>
    <n v="5198"/>
  </r>
  <r>
    <x v="1"/>
    <x v="4"/>
    <x v="0"/>
    <s v="Kitchen Center"/>
    <d v="2013-05-01T00:00:00"/>
    <n v="8"/>
    <n v="3498"/>
  </r>
  <r>
    <x v="8"/>
    <x v="3"/>
    <x v="1"/>
    <s v="Appliance Mart"/>
    <d v="2013-05-21T00:00:00"/>
    <n v="13"/>
    <n v="4857"/>
  </r>
  <r>
    <x v="4"/>
    <x v="1"/>
    <x v="3"/>
    <s v="ElectroCity"/>
    <d v="2013-05-22T00:00:00"/>
    <n v="21"/>
    <n v="10956"/>
  </r>
  <r>
    <x v="5"/>
    <x v="0"/>
    <x v="2"/>
    <s v="Appliance Mart"/>
    <d v="2013-06-16T00:00:00"/>
    <n v="8"/>
    <n v="3806"/>
  </r>
  <r>
    <x v="8"/>
    <x v="4"/>
    <x v="1"/>
    <s v="Home Emporium"/>
    <d v="2013-11-14T00:00:00"/>
    <n v="13"/>
    <n v="6100"/>
  </r>
  <r>
    <x v="5"/>
    <x v="0"/>
    <x v="0"/>
    <s v="ElectroCity"/>
    <d v="2012-02-18T00:00:00"/>
    <n v="19"/>
    <n v="11210"/>
  </r>
  <r>
    <x v="10"/>
    <x v="1"/>
    <x v="1"/>
    <s v="Home Emporium"/>
    <d v="2012-11-22T00:00:00"/>
    <n v="15"/>
    <n v="6314"/>
  </r>
  <r>
    <x v="7"/>
    <x v="3"/>
    <x v="1"/>
    <s v="Home Emporium"/>
    <d v="2012-07-26T00:00:00"/>
    <n v="9"/>
    <n v="3669"/>
  </r>
  <r>
    <x v="1"/>
    <x v="1"/>
    <x v="3"/>
    <s v="Home Emporium"/>
    <d v="2013-04-23T00:00:00"/>
    <n v="11"/>
    <n v="3740"/>
  </r>
  <r>
    <x v="8"/>
    <x v="0"/>
    <x v="0"/>
    <s v="Appliance Mart"/>
    <d v="2012-04-21T00:00:00"/>
    <n v="9"/>
    <n v="3707"/>
  </r>
  <r>
    <x v="8"/>
    <x v="2"/>
    <x v="3"/>
    <s v="Home Emporium"/>
    <d v="2012-04-26T00:00:00"/>
    <n v="12"/>
    <n v="6848"/>
  </r>
  <r>
    <x v="6"/>
    <x v="3"/>
    <x v="3"/>
    <s v="Appliance Mart"/>
    <d v="2013-01-10T00:00:00"/>
    <n v="16"/>
    <n v="8333"/>
  </r>
  <r>
    <x v="10"/>
    <x v="3"/>
    <x v="0"/>
    <s v="ElectroCity"/>
    <d v="2012-11-12T00:00:00"/>
    <n v="16"/>
    <n v="6138"/>
  </r>
  <r>
    <x v="6"/>
    <x v="3"/>
    <x v="1"/>
    <s v="Home USA"/>
    <d v="2012-03-16T00:00:00"/>
    <n v="13"/>
    <n v="6177"/>
  </r>
  <r>
    <x v="4"/>
    <x v="0"/>
    <x v="2"/>
    <s v="ElectroCity"/>
    <d v="2013-02-07T00:00:00"/>
    <n v="12"/>
    <n v="6181"/>
  </r>
  <r>
    <x v="7"/>
    <x v="0"/>
    <x v="0"/>
    <s v="ElectroCity"/>
    <d v="2013-07-04T00:00:00"/>
    <n v="7"/>
    <n v="3696"/>
  </r>
  <r>
    <x v="3"/>
    <x v="3"/>
    <x v="0"/>
    <s v="Home USA"/>
    <d v="2012-01-10T00:00:00"/>
    <n v="11"/>
    <n v="4686"/>
  </r>
  <r>
    <x v="5"/>
    <x v="2"/>
    <x v="2"/>
    <s v="Home Emporium"/>
    <d v="2012-07-09T00:00:00"/>
    <n v="15"/>
    <n v="5005"/>
  </r>
  <r>
    <x v="9"/>
    <x v="3"/>
    <x v="3"/>
    <s v="Home USA"/>
    <d v="2012-08-08T00:00:00"/>
    <n v="14"/>
    <n v="6122"/>
  </r>
  <r>
    <x v="4"/>
    <x v="0"/>
    <x v="0"/>
    <s v="ElectroCity"/>
    <d v="2012-07-08T00:00:00"/>
    <n v="10"/>
    <n v="4764"/>
  </r>
  <r>
    <x v="8"/>
    <x v="1"/>
    <x v="0"/>
    <s v="Appliance Mart"/>
    <d v="2013-01-24T00:00:00"/>
    <n v="3"/>
    <n v="935"/>
  </r>
  <r>
    <x v="5"/>
    <x v="3"/>
    <x v="1"/>
    <s v="Home USA"/>
    <d v="2013-05-21T00:00:00"/>
    <n v="14"/>
    <n v="4406"/>
  </r>
  <r>
    <x v="1"/>
    <x v="4"/>
    <x v="1"/>
    <s v="Home USA"/>
    <d v="2012-01-07T00:00:00"/>
    <n v="11"/>
    <n v="4675"/>
  </r>
  <r>
    <x v="3"/>
    <x v="3"/>
    <x v="3"/>
    <s v="ElectroCity"/>
    <d v="2013-05-29T00:00:00"/>
    <n v="15"/>
    <n v="8898"/>
  </r>
  <r>
    <x v="6"/>
    <x v="4"/>
    <x v="0"/>
    <s v="Kitchen Center"/>
    <d v="2013-09-21T00:00:00"/>
    <n v="8"/>
    <n v="4268"/>
  </r>
  <r>
    <x v="9"/>
    <x v="1"/>
    <x v="0"/>
    <s v="Home USA"/>
    <d v="2013-08-14T00:00:00"/>
    <n v="14"/>
    <n v="5434"/>
  </r>
  <r>
    <x v="10"/>
    <x v="3"/>
    <x v="2"/>
    <s v="Kitchen Center"/>
    <d v="2013-02-01T00:00:00"/>
    <n v="7"/>
    <n v="2250"/>
  </r>
  <r>
    <x v="5"/>
    <x v="4"/>
    <x v="1"/>
    <s v="Appliance Mart"/>
    <d v="2012-03-14T00:00:00"/>
    <n v="10"/>
    <n v="5038"/>
  </r>
  <r>
    <x v="6"/>
    <x v="1"/>
    <x v="3"/>
    <s v="Appliance Mart"/>
    <d v="2013-10-31T00:00:00"/>
    <n v="14"/>
    <n v="6166"/>
  </r>
  <r>
    <x v="4"/>
    <x v="3"/>
    <x v="0"/>
    <s v="Home USA"/>
    <d v="2012-12-31T00:00:00"/>
    <n v="5"/>
    <n v="2233"/>
  </r>
  <r>
    <x v="1"/>
    <x v="4"/>
    <x v="0"/>
    <s v="Home Emporium"/>
    <d v="2012-06-08T00:00:00"/>
    <n v="15"/>
    <n v="6177"/>
  </r>
  <r>
    <x v="6"/>
    <x v="4"/>
    <x v="1"/>
    <s v="Home USA"/>
    <d v="2012-02-01T00:00:00"/>
    <n v="11"/>
    <n v="5412"/>
  </r>
  <r>
    <x v="9"/>
    <x v="1"/>
    <x v="1"/>
    <s v="Appliance Mart"/>
    <d v="2013-09-28T00:00:00"/>
    <n v="10"/>
    <n v="5126"/>
  </r>
  <r>
    <x v="2"/>
    <x v="0"/>
    <x v="0"/>
    <s v="Appliance Mart"/>
    <d v="2012-06-02T00:00:00"/>
    <n v="10"/>
    <n v="5913"/>
  </r>
  <r>
    <x v="6"/>
    <x v="1"/>
    <x v="1"/>
    <s v="ElectroCity"/>
    <d v="2013-12-18T00:00:00"/>
    <n v="10"/>
    <n v="4170"/>
  </r>
  <r>
    <x v="1"/>
    <x v="3"/>
    <x v="0"/>
    <s v="ElectroCity"/>
    <d v="2013-06-30T00:00:00"/>
    <n v="9"/>
    <n v="3110"/>
  </r>
  <r>
    <x v="6"/>
    <x v="0"/>
    <x v="2"/>
    <s v="Appliance Mart"/>
    <d v="2012-09-08T00:00:00"/>
    <n v="4"/>
    <n v="1199"/>
  </r>
  <r>
    <x v="11"/>
    <x v="0"/>
    <x v="3"/>
    <s v="ElectroCity"/>
    <d v="2012-03-09T00:00:00"/>
    <n v="18"/>
    <n v="10940"/>
  </r>
  <r>
    <x v="8"/>
    <x v="2"/>
    <x v="3"/>
    <s v="Home USA"/>
    <d v="2012-06-23T00:00:00"/>
    <n v="3"/>
    <n v="902"/>
  </r>
  <r>
    <x v="5"/>
    <x v="1"/>
    <x v="1"/>
    <s v="ElectroCity"/>
    <d v="2013-06-20T00:00:00"/>
    <n v="17"/>
    <n v="8920"/>
  </r>
  <r>
    <x v="9"/>
    <x v="4"/>
    <x v="0"/>
    <s v="Appliance Mart"/>
    <d v="2012-10-10T00:00:00"/>
    <n v="2"/>
    <n v="451"/>
  </r>
  <r>
    <x v="9"/>
    <x v="3"/>
    <x v="1"/>
    <s v="ElectroCity"/>
    <d v="2013-07-03T00:00:00"/>
    <n v="18"/>
    <n v="6303"/>
  </r>
  <r>
    <x v="4"/>
    <x v="2"/>
    <x v="3"/>
    <s v="ElectroCity"/>
    <d v="2012-11-19T00:00:00"/>
    <n v="20"/>
    <n v="12063"/>
  </r>
  <r>
    <x v="2"/>
    <x v="2"/>
    <x v="2"/>
    <s v="Kitchen Center"/>
    <d v="2013-01-04T00:00:00"/>
    <n v="12"/>
    <n v="4538"/>
  </r>
  <r>
    <x v="0"/>
    <x v="4"/>
    <x v="1"/>
    <s v="ElectroCity"/>
    <d v="2012-12-26T00:00:00"/>
    <n v="21"/>
    <n v="7326"/>
  </r>
  <r>
    <x v="8"/>
    <x v="0"/>
    <x v="0"/>
    <s v="Kitchen Center"/>
    <d v="2013-01-12T00:00:00"/>
    <n v="14"/>
    <n v="6908"/>
  </r>
  <r>
    <x v="1"/>
    <x v="1"/>
    <x v="3"/>
    <s v="Appliance Mart"/>
    <d v="2012-08-20T00:00:00"/>
    <n v="5"/>
    <n v="1738"/>
  </r>
  <r>
    <x v="9"/>
    <x v="0"/>
    <x v="0"/>
    <s v="Kitchen Center"/>
    <d v="2013-03-10T00:00:00"/>
    <n v="5"/>
    <n v="1810"/>
  </r>
  <r>
    <x v="4"/>
    <x v="2"/>
    <x v="0"/>
    <s v="Kitchen Center"/>
    <d v="2013-02-26T00:00:00"/>
    <n v="13"/>
    <n v="7128"/>
  </r>
  <r>
    <x v="5"/>
    <x v="2"/>
    <x v="2"/>
    <s v="Kitchen Center"/>
    <d v="2012-05-16T00:00:00"/>
    <n v="16"/>
    <n v="5693"/>
  </r>
  <r>
    <x v="8"/>
    <x v="2"/>
    <x v="2"/>
    <s v="Home USA"/>
    <d v="2012-11-30T00:00:00"/>
    <n v="16"/>
    <n v="8448"/>
  </r>
  <r>
    <x v="6"/>
    <x v="3"/>
    <x v="1"/>
    <s v="Kitchen Center"/>
    <d v="2012-05-12T00:00:00"/>
    <n v="15"/>
    <n v="7733"/>
  </r>
  <r>
    <x v="0"/>
    <x v="3"/>
    <x v="1"/>
    <s v="Home USA"/>
    <d v="2012-11-04T00:00:00"/>
    <n v="12"/>
    <n v="5709"/>
  </r>
  <r>
    <x v="8"/>
    <x v="1"/>
    <x v="1"/>
    <s v="Appliance Mart"/>
    <d v="2013-06-12T00:00:00"/>
    <n v="2"/>
    <n v="369"/>
  </r>
  <r>
    <x v="1"/>
    <x v="3"/>
    <x v="0"/>
    <s v="Home USA"/>
    <d v="2012-05-24T00:00:00"/>
    <n v="10"/>
    <n v="4444"/>
  </r>
  <r>
    <x v="1"/>
    <x v="4"/>
    <x v="2"/>
    <s v="Home Emporium"/>
    <d v="2012-02-04T00:00:00"/>
    <n v="15"/>
    <n v="5220"/>
  </r>
  <r>
    <x v="4"/>
    <x v="2"/>
    <x v="1"/>
    <s v="Appliance Mart"/>
    <d v="2013-01-02T00:00:00"/>
    <n v="2"/>
    <n v="506"/>
  </r>
  <r>
    <x v="6"/>
    <x v="3"/>
    <x v="2"/>
    <s v="Home Emporium"/>
    <d v="2013-01-30T00:00:00"/>
    <n v="14"/>
    <n v="8025"/>
  </r>
  <r>
    <x v="10"/>
    <x v="3"/>
    <x v="2"/>
    <s v="Kitchen Center"/>
    <d v="2013-07-31T00:00:00"/>
    <n v="6"/>
    <n v="2063"/>
  </r>
  <r>
    <x v="5"/>
    <x v="4"/>
    <x v="3"/>
    <s v="Home Emporium"/>
    <d v="2013-07-24T00:00:00"/>
    <n v="11"/>
    <n v="3608"/>
  </r>
  <r>
    <x v="9"/>
    <x v="1"/>
    <x v="3"/>
    <s v="ElectroCity"/>
    <d v="2012-12-17T00:00:00"/>
    <n v="12"/>
    <n v="3691"/>
  </r>
  <r>
    <x v="1"/>
    <x v="1"/>
    <x v="1"/>
    <s v="Home USA"/>
    <d v="2013-08-07T00:00:00"/>
    <n v="13"/>
    <n v="5071"/>
  </r>
  <r>
    <x v="1"/>
    <x v="0"/>
    <x v="2"/>
    <s v="Kitchen Center"/>
    <d v="2012-09-17T00:00:00"/>
    <n v="13"/>
    <n v="7827"/>
  </r>
  <r>
    <x v="11"/>
    <x v="3"/>
    <x v="1"/>
    <s v="Home Emporium"/>
    <d v="2013-12-11T00:00:00"/>
    <n v="8"/>
    <n v="4180"/>
  </r>
  <r>
    <x v="0"/>
    <x v="2"/>
    <x v="3"/>
    <s v="Home Emporium"/>
    <d v="2013-12-06T00:00:00"/>
    <n v="12"/>
    <n v="5786"/>
  </r>
  <r>
    <x v="9"/>
    <x v="3"/>
    <x v="3"/>
    <s v="Home Emporium"/>
    <d v="2013-06-22T00:00:00"/>
    <n v="4"/>
    <n v="1040"/>
  </r>
  <r>
    <x v="6"/>
    <x v="0"/>
    <x v="3"/>
    <s v="ElectroCity"/>
    <d v="2012-11-24T00:00:00"/>
    <n v="15"/>
    <n v="5279"/>
  </r>
  <r>
    <x v="2"/>
    <x v="4"/>
    <x v="2"/>
    <s v="Appliance Mart"/>
    <d v="2013-06-28T00:00:00"/>
    <n v="5"/>
    <n v="1711"/>
  </r>
  <r>
    <x v="6"/>
    <x v="1"/>
    <x v="1"/>
    <s v="Home Emporium"/>
    <d v="2012-10-18T00:00:00"/>
    <n v="6"/>
    <n v="1793"/>
  </r>
  <r>
    <x v="5"/>
    <x v="1"/>
    <x v="1"/>
    <s v="ElectroCity"/>
    <d v="2013-11-22T00:00:00"/>
    <n v="19"/>
    <n v="10273"/>
  </r>
  <r>
    <x v="5"/>
    <x v="3"/>
    <x v="2"/>
    <s v="ElectroCity"/>
    <d v="2013-10-23T00:00:00"/>
    <n v="19"/>
    <n v="10852"/>
  </r>
  <r>
    <x v="11"/>
    <x v="1"/>
    <x v="2"/>
    <s v="ElectroCity"/>
    <d v="2013-06-27T00:00:00"/>
    <n v="11"/>
    <n v="4378"/>
  </r>
  <r>
    <x v="8"/>
    <x v="2"/>
    <x v="1"/>
    <s v="Home USA"/>
    <d v="2013-08-29T00:00:00"/>
    <n v="11"/>
    <n v="5203"/>
  </r>
  <r>
    <x v="2"/>
    <x v="3"/>
    <x v="2"/>
    <s v="ElectroCity"/>
    <d v="2012-12-20T00:00:00"/>
    <n v="20"/>
    <n v="10054"/>
  </r>
  <r>
    <x v="1"/>
    <x v="3"/>
    <x v="1"/>
    <s v="Appliance Mart"/>
    <d v="2013-12-11T00:00:00"/>
    <n v="5"/>
    <n v="1788"/>
  </r>
  <r>
    <x v="2"/>
    <x v="0"/>
    <x v="3"/>
    <s v="Home USA"/>
    <d v="2012-04-04T00:00:00"/>
    <n v="4"/>
    <n v="1458"/>
  </r>
  <r>
    <x v="4"/>
    <x v="1"/>
    <x v="1"/>
    <s v="Appliance Mart"/>
    <d v="2013-06-14T00:00:00"/>
    <n v="2"/>
    <n v="473"/>
  </r>
  <r>
    <x v="9"/>
    <x v="3"/>
    <x v="1"/>
    <s v="Kitchen Center"/>
    <d v="2013-10-03T00:00:00"/>
    <n v="15"/>
    <n v="6963"/>
  </r>
  <r>
    <x v="2"/>
    <x v="4"/>
    <x v="1"/>
    <s v="ElectroCity"/>
    <d v="2013-04-17T00:00:00"/>
    <n v="8"/>
    <n v="4024"/>
  </r>
  <r>
    <x v="5"/>
    <x v="1"/>
    <x v="1"/>
    <s v="Kitchen Center"/>
    <d v="2013-04-11T00:00:00"/>
    <n v="10"/>
    <n v="5445"/>
  </r>
  <r>
    <x v="1"/>
    <x v="2"/>
    <x v="1"/>
    <s v="Kitchen Center"/>
    <d v="2012-11-15T00:00:00"/>
    <n v="4"/>
    <n v="1139"/>
  </r>
  <r>
    <x v="6"/>
    <x v="3"/>
    <x v="2"/>
    <s v="Kitchen Center"/>
    <d v="2013-08-23T00:00:00"/>
    <n v="13"/>
    <n v="7392"/>
  </r>
  <r>
    <x v="8"/>
    <x v="3"/>
    <x v="1"/>
    <s v="ElectroCity"/>
    <d v="2012-06-06T00:00:00"/>
    <n v="19"/>
    <n v="6595"/>
  </r>
  <r>
    <x v="5"/>
    <x v="4"/>
    <x v="2"/>
    <s v="Home USA"/>
    <d v="2012-05-31T00:00:00"/>
    <n v="13"/>
    <n v="4631"/>
  </r>
  <r>
    <x v="5"/>
    <x v="3"/>
    <x v="2"/>
    <s v="ElectroCity"/>
    <d v="2013-02-13T00:00:00"/>
    <n v="15"/>
    <n v="4638"/>
  </r>
  <r>
    <x v="1"/>
    <x v="2"/>
    <x v="0"/>
    <s v="Home Emporium"/>
    <d v="2012-08-15T00:00:00"/>
    <n v="11"/>
    <n v="3476"/>
  </r>
  <r>
    <x v="1"/>
    <x v="3"/>
    <x v="2"/>
    <s v="ElectroCity"/>
    <d v="2012-07-26T00:00:00"/>
    <n v="13"/>
    <n v="7732"/>
  </r>
  <r>
    <x v="9"/>
    <x v="1"/>
    <x v="3"/>
    <s v="Home Emporium"/>
    <d v="2013-05-15T00:00:00"/>
    <n v="14"/>
    <n v="8135"/>
  </r>
  <r>
    <x v="0"/>
    <x v="3"/>
    <x v="0"/>
    <s v="Home USA"/>
    <d v="2012-11-15T00:00:00"/>
    <n v="6"/>
    <n v="2822"/>
  </r>
  <r>
    <x v="0"/>
    <x v="0"/>
    <x v="2"/>
    <s v="ElectroCity"/>
    <d v="2012-11-18T00:00:00"/>
    <n v="9"/>
    <n v="4034"/>
  </r>
  <r>
    <x v="2"/>
    <x v="3"/>
    <x v="0"/>
    <s v="Home USA"/>
    <d v="2012-10-04T00:00:00"/>
    <n v="5"/>
    <n v="1975"/>
  </r>
  <r>
    <x v="6"/>
    <x v="0"/>
    <x v="3"/>
    <s v="ElectroCity"/>
    <d v="2012-08-01T00:00:00"/>
    <n v="16"/>
    <n v="7854"/>
  </r>
  <r>
    <x v="6"/>
    <x v="1"/>
    <x v="1"/>
    <s v="ElectroCity"/>
    <d v="2012-09-26T00:00:00"/>
    <n v="7"/>
    <n v="2640"/>
  </r>
  <r>
    <x v="8"/>
    <x v="2"/>
    <x v="3"/>
    <s v="Appliance Mart"/>
    <d v="2013-09-04T00:00:00"/>
    <n v="15"/>
    <n v="5742"/>
  </r>
  <r>
    <x v="11"/>
    <x v="1"/>
    <x v="2"/>
    <s v="Kitchen Center"/>
    <d v="2013-01-06T00:00:00"/>
    <n v="16"/>
    <n v="8333"/>
  </r>
  <r>
    <x v="0"/>
    <x v="1"/>
    <x v="2"/>
    <s v="Home USA"/>
    <d v="2012-04-18T00:00:00"/>
    <n v="9"/>
    <n v="2728"/>
  </r>
  <r>
    <x v="8"/>
    <x v="1"/>
    <x v="0"/>
    <s v="Home USA"/>
    <d v="2012-08-03T00:00:00"/>
    <n v="6"/>
    <n v="3069"/>
  </r>
  <r>
    <x v="10"/>
    <x v="2"/>
    <x v="3"/>
    <s v="Kitchen Center"/>
    <d v="2012-08-23T00:00:00"/>
    <n v="16"/>
    <n v="6683"/>
  </r>
  <r>
    <x v="2"/>
    <x v="0"/>
    <x v="2"/>
    <s v="ElectroCity"/>
    <d v="2012-06-07T00:00:00"/>
    <n v="14"/>
    <n v="4621"/>
  </r>
  <r>
    <x v="5"/>
    <x v="0"/>
    <x v="3"/>
    <s v="Kitchen Center"/>
    <d v="2013-02-01T00:00:00"/>
    <n v="10"/>
    <n v="3328"/>
  </r>
  <r>
    <x v="1"/>
    <x v="4"/>
    <x v="1"/>
    <s v="Appliance Mart"/>
    <d v="2013-08-15T00:00:00"/>
    <n v="14"/>
    <n v="6523"/>
  </r>
  <r>
    <x v="1"/>
    <x v="4"/>
    <x v="3"/>
    <s v="Appliance Mart"/>
    <d v="2012-11-08T00:00:00"/>
    <n v="14"/>
    <n v="5737"/>
  </r>
  <r>
    <x v="7"/>
    <x v="2"/>
    <x v="0"/>
    <s v="ElectroCity"/>
    <d v="2013-10-02T00:00:00"/>
    <n v="13"/>
    <n v="4412"/>
  </r>
  <r>
    <x v="3"/>
    <x v="3"/>
    <x v="1"/>
    <s v="Home Emporium"/>
    <d v="2013-11-01T00:00:00"/>
    <n v="8"/>
    <n v="3674"/>
  </r>
  <r>
    <x v="3"/>
    <x v="1"/>
    <x v="3"/>
    <s v="Home Emporium"/>
    <d v="2012-06-08T00:00:00"/>
    <n v="4"/>
    <n v="1051"/>
  </r>
  <r>
    <x v="0"/>
    <x v="1"/>
    <x v="0"/>
    <s v="Home USA"/>
    <d v="2013-01-18T00:00:00"/>
    <n v="11"/>
    <n v="6424"/>
  </r>
  <r>
    <x v="8"/>
    <x v="0"/>
    <x v="3"/>
    <s v="Home Emporium"/>
    <d v="2012-08-13T00:00:00"/>
    <n v="16"/>
    <n v="6749"/>
  </r>
  <r>
    <x v="1"/>
    <x v="0"/>
    <x v="3"/>
    <s v="Home USA"/>
    <d v="2013-04-04T00:00:00"/>
    <n v="5"/>
    <n v="1320"/>
  </r>
  <r>
    <x v="10"/>
    <x v="2"/>
    <x v="0"/>
    <s v="ElectroCity"/>
    <d v="2012-03-25T00:00:00"/>
    <n v="21"/>
    <n v="10626"/>
  </r>
  <r>
    <x v="11"/>
    <x v="2"/>
    <x v="0"/>
    <s v="Appliance Mart"/>
    <d v="2012-03-10T00:00:00"/>
    <n v="6"/>
    <n v="2552"/>
  </r>
  <r>
    <x v="6"/>
    <x v="2"/>
    <x v="2"/>
    <s v="Kitchen Center"/>
    <d v="2012-09-26T00:00:00"/>
    <n v="2"/>
    <n v="506"/>
  </r>
  <r>
    <x v="9"/>
    <x v="4"/>
    <x v="3"/>
    <s v="Home USA"/>
    <d v="2012-09-20T00:00:00"/>
    <n v="13"/>
    <n v="5533"/>
  </r>
  <r>
    <x v="8"/>
    <x v="3"/>
    <x v="3"/>
    <s v="Kitchen Center"/>
    <d v="2013-11-16T00:00:00"/>
    <n v="4"/>
    <n v="1051"/>
  </r>
  <r>
    <x v="5"/>
    <x v="3"/>
    <x v="3"/>
    <s v="Kitchen Center"/>
    <d v="2013-02-23T00:00:00"/>
    <n v="9"/>
    <n v="2904"/>
  </r>
  <r>
    <x v="4"/>
    <x v="1"/>
    <x v="0"/>
    <s v="Appliance Mart"/>
    <d v="2012-03-08T00:00:00"/>
    <n v="9"/>
    <n v="4092"/>
  </r>
  <r>
    <x v="1"/>
    <x v="4"/>
    <x v="3"/>
    <s v="ElectroCity"/>
    <d v="2012-12-05T00:00:00"/>
    <n v="14"/>
    <n v="8437"/>
  </r>
  <r>
    <x v="6"/>
    <x v="4"/>
    <x v="1"/>
    <s v="Kitchen Center"/>
    <d v="2012-12-26T00:00:00"/>
    <n v="6"/>
    <n v="2453"/>
  </r>
  <r>
    <x v="5"/>
    <x v="2"/>
    <x v="1"/>
    <s v="Home Emporium"/>
    <d v="2013-09-18T00:00:00"/>
    <n v="7"/>
    <n v="2613"/>
  </r>
  <r>
    <x v="2"/>
    <x v="3"/>
    <x v="3"/>
    <s v="Home USA"/>
    <d v="2012-09-30T00:00:00"/>
    <n v="7"/>
    <n v="2134"/>
  </r>
  <r>
    <x v="1"/>
    <x v="2"/>
    <x v="0"/>
    <s v="Appliance Mart"/>
    <d v="2012-03-26T00:00:00"/>
    <n v="16"/>
    <n v="5759"/>
  </r>
  <r>
    <x v="4"/>
    <x v="0"/>
    <x v="3"/>
    <s v="Home Emporium"/>
    <d v="2013-11-02T00:00:00"/>
    <n v="7"/>
    <n v="3064"/>
  </r>
  <r>
    <x v="0"/>
    <x v="3"/>
    <x v="1"/>
    <s v="Home Emporium"/>
    <d v="2013-11-09T00:00:00"/>
    <n v="7"/>
    <n v="3130"/>
  </r>
  <r>
    <x v="4"/>
    <x v="3"/>
    <x v="3"/>
    <s v="Home Emporium"/>
    <d v="2013-05-02T00:00:00"/>
    <n v="4"/>
    <n v="1408"/>
  </r>
  <r>
    <x v="2"/>
    <x v="0"/>
    <x v="0"/>
    <s v="Kitchen Center"/>
    <d v="2013-09-01T00:00:00"/>
    <n v="8"/>
    <n v="2981"/>
  </r>
  <r>
    <x v="0"/>
    <x v="4"/>
    <x v="2"/>
    <s v="ElectroCity"/>
    <d v="2012-01-04T00:00:00"/>
    <n v="13"/>
    <n v="5148"/>
  </r>
  <r>
    <x v="6"/>
    <x v="2"/>
    <x v="2"/>
    <s v="Appliance Mart"/>
    <d v="2012-02-08T00:00:00"/>
    <n v="5"/>
    <n v="1865"/>
  </r>
  <r>
    <x v="7"/>
    <x v="0"/>
    <x v="3"/>
    <s v="Home Emporium"/>
    <d v="2013-03-24T00:00:00"/>
    <n v="7"/>
    <n v="3537"/>
  </r>
  <r>
    <x v="1"/>
    <x v="2"/>
    <x v="3"/>
    <s v="Home USA"/>
    <d v="2013-03-13T00:00:00"/>
    <n v="5"/>
    <n v="2008"/>
  </r>
  <r>
    <x v="5"/>
    <x v="1"/>
    <x v="2"/>
    <s v="ElectroCity"/>
    <d v="2013-05-26T00:00:00"/>
    <n v="9"/>
    <n v="2728"/>
  </r>
  <r>
    <x v="3"/>
    <x v="3"/>
    <x v="2"/>
    <s v="Kitchen Center"/>
    <d v="2013-11-13T00:00:00"/>
    <n v="9"/>
    <n v="4180"/>
  </r>
  <r>
    <x v="0"/>
    <x v="2"/>
    <x v="1"/>
    <s v="Home Emporium"/>
    <d v="2013-06-28T00:00:00"/>
    <n v="14"/>
    <n v="4521"/>
  </r>
  <r>
    <x v="2"/>
    <x v="1"/>
    <x v="0"/>
    <s v="Appliance Mart"/>
    <d v="2012-09-06T00:00:00"/>
    <n v="15"/>
    <n v="5407"/>
  </r>
  <r>
    <x v="6"/>
    <x v="2"/>
    <x v="2"/>
    <s v="Home USA"/>
    <d v="2012-04-05T00:00:00"/>
    <n v="12"/>
    <n v="6919"/>
  </r>
  <r>
    <x v="8"/>
    <x v="2"/>
    <x v="2"/>
    <s v="Home USA"/>
    <d v="2012-01-10T00:00:00"/>
    <n v="5"/>
    <n v="2371"/>
  </r>
  <r>
    <x v="3"/>
    <x v="4"/>
    <x v="1"/>
    <s v="Kitchen Center"/>
    <d v="2013-05-28T00:00:00"/>
    <n v="4"/>
    <n v="1524"/>
  </r>
  <r>
    <x v="1"/>
    <x v="4"/>
    <x v="1"/>
    <s v="Home USA"/>
    <d v="2013-08-14T00:00:00"/>
    <n v="8"/>
    <n v="2844"/>
  </r>
  <r>
    <x v="6"/>
    <x v="1"/>
    <x v="3"/>
    <s v="Home USA"/>
    <d v="2012-06-17T00:00:00"/>
    <n v="12"/>
    <n v="6677"/>
  </r>
  <r>
    <x v="0"/>
    <x v="2"/>
    <x v="3"/>
    <s v="ElectroCity"/>
    <d v="2012-08-10T00:00:00"/>
    <n v="21"/>
    <n v="11770"/>
  </r>
  <r>
    <x v="11"/>
    <x v="2"/>
    <x v="3"/>
    <s v="Appliance Mart"/>
    <d v="2013-01-28T00:00:00"/>
    <n v="16"/>
    <n v="6551"/>
  </r>
  <r>
    <x v="1"/>
    <x v="0"/>
    <x v="0"/>
    <s v="Kitchen Center"/>
    <d v="2012-03-08T00:00:00"/>
    <n v="7"/>
    <n v="2860"/>
  </r>
  <r>
    <x v="2"/>
    <x v="4"/>
    <x v="0"/>
    <s v="Kitchen Center"/>
    <d v="2012-04-14T00:00:00"/>
    <n v="13"/>
    <n v="6826"/>
  </r>
  <r>
    <x v="6"/>
    <x v="3"/>
    <x v="3"/>
    <s v="Home Emporium"/>
    <d v="2013-01-23T00:00:00"/>
    <n v="12"/>
    <n v="4015"/>
  </r>
  <r>
    <x v="4"/>
    <x v="0"/>
    <x v="1"/>
    <s v="Appliance Mart"/>
    <d v="2012-06-14T00:00:00"/>
    <n v="11"/>
    <n v="6083"/>
  </r>
  <r>
    <x v="11"/>
    <x v="3"/>
    <x v="1"/>
    <s v="Home USA"/>
    <d v="2013-10-27T00:00:00"/>
    <n v="14"/>
    <n v="7464"/>
  </r>
  <r>
    <x v="2"/>
    <x v="2"/>
    <x v="0"/>
    <s v="Appliance Mart"/>
    <d v="2012-10-22T00:00:00"/>
    <n v="5"/>
    <n v="2519"/>
  </r>
  <r>
    <x v="3"/>
    <x v="4"/>
    <x v="2"/>
    <s v="Kitchen Center"/>
    <d v="2013-09-26T00:00:00"/>
    <n v="12"/>
    <n v="6413"/>
  </r>
  <r>
    <x v="3"/>
    <x v="1"/>
    <x v="1"/>
    <s v="ElectroCity"/>
    <d v="2012-11-21T00:00:00"/>
    <n v="15"/>
    <n v="6065"/>
  </r>
  <r>
    <x v="1"/>
    <x v="4"/>
    <x v="0"/>
    <s v="Appliance Mart"/>
    <d v="2013-08-07T00:00:00"/>
    <n v="14"/>
    <n v="5264"/>
  </r>
  <r>
    <x v="2"/>
    <x v="3"/>
    <x v="0"/>
    <s v="ElectroCity"/>
    <d v="2013-07-07T00:00:00"/>
    <n v="14"/>
    <n v="6381"/>
  </r>
  <r>
    <x v="3"/>
    <x v="4"/>
    <x v="3"/>
    <s v="Appliance Mart"/>
    <d v="2012-01-02T00:00:00"/>
    <n v="8"/>
    <n v="2310"/>
  </r>
  <r>
    <x v="7"/>
    <x v="2"/>
    <x v="3"/>
    <s v="ElectroCity"/>
    <d v="2013-05-18T00:00:00"/>
    <n v="8"/>
    <n v="3696"/>
  </r>
  <r>
    <x v="0"/>
    <x v="3"/>
    <x v="1"/>
    <s v="Kitchen Center"/>
    <d v="2013-01-09T00:00:00"/>
    <n v="2"/>
    <n v="484"/>
  </r>
  <r>
    <x v="6"/>
    <x v="2"/>
    <x v="2"/>
    <s v="ElectroCity"/>
    <d v="2012-12-13T00:00:00"/>
    <n v="14"/>
    <n v="7195"/>
  </r>
  <r>
    <x v="8"/>
    <x v="4"/>
    <x v="0"/>
    <s v="ElectroCity"/>
    <d v="2012-08-22T00:00:00"/>
    <n v="13"/>
    <n v="6082"/>
  </r>
  <r>
    <x v="6"/>
    <x v="2"/>
    <x v="1"/>
    <s v="ElectroCity"/>
    <d v="2012-09-05T00:00:00"/>
    <n v="8"/>
    <n v="3003"/>
  </r>
  <r>
    <x v="10"/>
    <x v="0"/>
    <x v="2"/>
    <s v="Home Emporium"/>
    <d v="2012-12-23T00:00:00"/>
    <n v="4"/>
    <n v="1502"/>
  </r>
  <r>
    <x v="10"/>
    <x v="0"/>
    <x v="3"/>
    <s v="Kitchen Center"/>
    <d v="2012-11-18T00:00:00"/>
    <n v="16"/>
    <n v="8597"/>
  </r>
  <r>
    <x v="3"/>
    <x v="2"/>
    <x v="2"/>
    <s v="Kitchen Center"/>
    <d v="2012-04-05T00:00:00"/>
    <n v="7"/>
    <n v="3542"/>
  </r>
  <r>
    <x v="0"/>
    <x v="2"/>
    <x v="1"/>
    <s v="Home Emporium"/>
    <d v="2013-12-19T00:00:00"/>
    <n v="13"/>
    <n v="5847"/>
  </r>
  <r>
    <x v="3"/>
    <x v="0"/>
    <x v="0"/>
    <s v="Appliance Mart"/>
    <d v="2012-09-13T00:00:00"/>
    <n v="9"/>
    <n v="3988"/>
  </r>
  <r>
    <x v="4"/>
    <x v="1"/>
    <x v="1"/>
    <s v="Kitchen Center"/>
    <d v="2013-04-18T00:00:00"/>
    <n v="6"/>
    <n v="1821"/>
  </r>
  <r>
    <x v="6"/>
    <x v="3"/>
    <x v="2"/>
    <s v="Kitchen Center"/>
    <d v="2013-10-04T00:00:00"/>
    <n v="13"/>
    <n v="6677"/>
  </r>
  <r>
    <x v="10"/>
    <x v="1"/>
    <x v="1"/>
    <s v="Home USA"/>
    <d v="2012-01-28T00:00:00"/>
    <n v="8"/>
    <n v="3064"/>
  </r>
  <r>
    <x v="4"/>
    <x v="0"/>
    <x v="0"/>
    <s v="Home Emporium"/>
    <d v="2012-07-20T00:00:00"/>
    <n v="10"/>
    <n v="4120"/>
  </r>
  <r>
    <x v="8"/>
    <x v="3"/>
    <x v="1"/>
    <s v="Appliance Mart"/>
    <d v="2013-07-18T00:00:00"/>
    <n v="3"/>
    <n v="1029"/>
  </r>
  <r>
    <x v="5"/>
    <x v="2"/>
    <x v="0"/>
    <s v="Home USA"/>
    <d v="2012-01-20T00:00:00"/>
    <n v="9"/>
    <n v="4455"/>
  </r>
  <r>
    <x v="4"/>
    <x v="0"/>
    <x v="2"/>
    <s v="Home Emporium"/>
    <d v="2013-01-03T00:00:00"/>
    <n v="8"/>
    <n v="4197"/>
  </r>
  <r>
    <x v="6"/>
    <x v="4"/>
    <x v="1"/>
    <s v="Home Emporium"/>
    <d v="2013-02-23T00:00:00"/>
    <n v="7"/>
    <n v="2932"/>
  </r>
  <r>
    <x v="1"/>
    <x v="4"/>
    <x v="2"/>
    <s v="Home Emporium"/>
    <d v="2013-07-14T00:00:00"/>
    <n v="4"/>
    <n v="1496"/>
  </r>
  <r>
    <x v="0"/>
    <x v="1"/>
    <x v="3"/>
    <s v="ElectroCity"/>
    <d v="2012-06-21T00:00:00"/>
    <n v="20"/>
    <n v="11204"/>
  </r>
  <r>
    <x v="4"/>
    <x v="3"/>
    <x v="3"/>
    <s v="ElectroCity"/>
    <d v="2012-02-08T00:00:00"/>
    <n v="14"/>
    <n v="5908"/>
  </r>
  <r>
    <x v="8"/>
    <x v="2"/>
    <x v="1"/>
    <s v="Home USA"/>
    <d v="2012-07-12T00:00:00"/>
    <n v="14"/>
    <n v="8080"/>
  </r>
  <r>
    <x v="9"/>
    <x v="2"/>
    <x v="3"/>
    <s v="Kitchen Center"/>
    <d v="2012-11-18T00:00:00"/>
    <n v="9"/>
    <n v="2739"/>
  </r>
  <r>
    <x v="3"/>
    <x v="0"/>
    <x v="0"/>
    <s v="Kitchen Center"/>
    <d v="2013-05-26T00:00:00"/>
    <n v="10"/>
    <n v="477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compact="0" outline="1" outlineData="1" compactData="0" multipleFieldFilters="0">
  <location ref="J3:O17" firstHeaderRow="1" firstDataRow="2" firstDataCol="1"/>
  <pivotFields count="7">
    <pivotField axis="axisRow" compact="0" showAll="0">
      <items count="13">
        <item x="2"/>
        <item x="9"/>
        <item x="0"/>
        <item x="1"/>
        <item x="4"/>
        <item x="6"/>
        <item x="5"/>
        <item x="8"/>
        <item x="10"/>
        <item x="7"/>
        <item x="11"/>
        <item x="3"/>
        <item t="default"/>
      </items>
    </pivotField>
    <pivotField compact="0" showAll="0">
      <items count="6">
        <item x="1"/>
        <item x="0"/>
        <item x="3"/>
        <item x="4"/>
        <item x="2"/>
        <item t="default"/>
      </items>
    </pivotField>
    <pivotField axis="axisCol" compact="0" showAll="0">
      <items count="5">
        <item x="2"/>
        <item x="0"/>
        <item x="3"/>
        <item x="1"/>
        <item t="default"/>
      </items>
    </pivotField>
    <pivotField compact="0" showAll="0"/>
    <pivotField compact="0" numFmtId="168" showAll="0"/>
    <pivotField dataField="1" compact="0" numFmtId="165" showAll="0"/>
    <pivotField compact="0" numFmtId="165" showAll="0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Items" fld="5" baseField="0" baseItem="0"/>
  </dataFields>
  <formats count="2">
    <format dxfId="1">
      <pivotArea dataOnly="0" labelOnly="1" outline="0" fieldPosition="0">
        <references count="1">
          <reference field="2" count="0"/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FF1CE1A-275C-45A8-8400-0A35218FC32E}" name="Table1" displayName="Table1" ref="A3:B7" totalsRowShown="0" headerRowDxfId="7" headerRowBorderDxfId="6" tableBorderDxfId="5" totalsRowBorderDxfId="4">
  <autoFilter ref="A3:B7" xr:uid="{EADD59BE-8126-46A0-979D-14B7B606E64B}"/>
  <tableColumns count="2">
    <tableColumn id="1" xr3:uid="{A4E9E148-C63E-439C-A800-77B3F334D2E6}" name="Place of Supply" dataDxfId="3"/>
    <tableColumn id="2" xr3:uid="{04BA1089-496D-41AF-B764-58D2B0F559CD}" name="Total Tax" dataDxfId="2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ebextensions/_rels/webextension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webextensions/webextension1.xml><?xml version="1.0" encoding="utf-8"?>
<we:webextension xmlns:we="http://schemas.microsoft.com/office/webextensions/webextension/2010/11" id="{255FCE1A-42EF-4FFA-B0D9-9F2A1C8F23BD}">
  <we:reference id="wa104104476" version="1.3.0.0" store="en-US" storeType="OMEX"/>
  <we:alternateReferences/>
  <we:properties>
    <we:property name="sku" value="&quot;peoplebar-callout&quot;"/>
    <we:property name="theme" value="&quot;callout-whitered&quot;"/>
    <we:property name="shape" value="&quot;muscle-people&quot;"/>
    <we:property name="layout-element-title" value="&quot;NUMBERS ABOUT THE APP&quot;"/>
  </we:properties>
  <we:bindings>
    <we:binding id="dataVizBinding" type="matrix" appref="{991E9529-963D-4462-9851-E2ADF60EBA4D}"/>
  </we:bindings>
  <we:snapshot xmlns:r="http://schemas.openxmlformats.org/officeDocument/2006/relationships" r:embed="rId1"/>
</we:webextension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inkedin.com/in/ca-vaibhav-doshi-30ab75124/" TargetMode="External"/><Relationship Id="rId2" Type="http://schemas.openxmlformats.org/officeDocument/2006/relationships/hyperlink" Target="https://youtu.be/mFqbdVAM_mI" TargetMode="External"/><Relationship Id="rId1" Type="http://schemas.openxmlformats.org/officeDocument/2006/relationships/hyperlink" Target="mailto:cavaibhavdoshi@gmail.com" TargetMode="External"/><Relationship Id="rId5" Type="http://schemas.openxmlformats.org/officeDocument/2006/relationships/hyperlink" Target="https://chat.whatsapp.com/G29ud5uZV2N2bTfHddk2SA" TargetMode="External"/><Relationship Id="rId4" Type="http://schemas.openxmlformats.org/officeDocument/2006/relationships/hyperlink" Target="https://www.facebook.com/vaibhav.doshi.315/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9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782C0-33BC-4BD9-9CAC-B6F376A96B7A}">
  <dimension ref="A2:B10"/>
  <sheetViews>
    <sheetView tabSelected="1" workbookViewId="0">
      <selection activeCell="A9" sqref="A9"/>
    </sheetView>
  </sheetViews>
  <sheetFormatPr defaultRowHeight="15" x14ac:dyDescent="0.25"/>
  <cols>
    <col min="1" max="1" width="47.42578125" style="166" bestFit="1" customWidth="1"/>
    <col min="2" max="2" width="55.42578125" style="166" bestFit="1" customWidth="1"/>
    <col min="3" max="16384" width="9.140625" style="166"/>
  </cols>
  <sheetData>
    <row r="2" spans="1:2" ht="18.75" x14ac:dyDescent="0.3">
      <c r="A2" s="154" t="s">
        <v>490</v>
      </c>
    </row>
    <row r="3" spans="1:2" x14ac:dyDescent="0.25">
      <c r="A3" s="197">
        <v>9561118844</v>
      </c>
    </row>
    <row r="4" spans="1:2" x14ac:dyDescent="0.25">
      <c r="A4" s="198" t="s">
        <v>491</v>
      </c>
    </row>
    <row r="5" spans="1:2" x14ac:dyDescent="0.25">
      <c r="A5" s="198"/>
    </row>
    <row r="6" spans="1:2" x14ac:dyDescent="0.25">
      <c r="A6" s="199" t="s">
        <v>492</v>
      </c>
    </row>
    <row r="7" spans="1:2" x14ac:dyDescent="0.25">
      <c r="A7" s="166" t="s">
        <v>493</v>
      </c>
      <c r="B7" s="198" t="s">
        <v>494</v>
      </c>
    </row>
    <row r="8" spans="1:2" x14ac:dyDescent="0.25">
      <c r="A8" s="166" t="s">
        <v>500</v>
      </c>
      <c r="B8" s="198" t="s">
        <v>495</v>
      </c>
    </row>
    <row r="9" spans="1:2" x14ac:dyDescent="0.25">
      <c r="A9" s="166" t="s">
        <v>496</v>
      </c>
      <c r="B9" s="198" t="s">
        <v>497</v>
      </c>
    </row>
    <row r="10" spans="1:2" x14ac:dyDescent="0.25">
      <c r="A10" s="166" t="s">
        <v>498</v>
      </c>
      <c r="B10" s="198" t="s">
        <v>499</v>
      </c>
    </row>
  </sheetData>
  <hyperlinks>
    <hyperlink ref="A4" r:id="rId1" xr:uid="{90D8E1FD-BDF5-4FDE-82FB-C3FB6AD0BB16}"/>
    <hyperlink ref="B7" r:id="rId2" xr:uid="{211EC0F2-FF19-420E-BFFA-672DF5440BDC}"/>
    <hyperlink ref="B8" r:id="rId3" xr:uid="{1F787969-8F42-43B2-AB87-7125368F6BAB}"/>
    <hyperlink ref="B10" r:id="rId4" xr:uid="{8D8E99AE-D292-4103-B175-47ACBDE8163F}"/>
    <hyperlink ref="B9" r:id="rId5" xr:uid="{424A1F9E-8430-4793-ADE0-2D0FDF6ECC13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8B2CE-37E7-43E9-8BDC-090C50141C0A}">
  <dimension ref="A1:B15"/>
  <sheetViews>
    <sheetView workbookViewId="0">
      <selection activeCell="B15" sqref="B15"/>
    </sheetView>
  </sheetViews>
  <sheetFormatPr defaultRowHeight="15" x14ac:dyDescent="0.25"/>
  <cols>
    <col min="1" max="1" width="21.28515625" bestFit="1" customWidth="1"/>
    <col min="2" max="2" width="20.7109375" customWidth="1"/>
  </cols>
  <sheetData>
    <row r="1" spans="1:2" ht="18.75" x14ac:dyDescent="0.3">
      <c r="A1" s="181">
        <v>37288</v>
      </c>
      <c r="B1" s="71"/>
    </row>
    <row r="2" spans="1:2" ht="18.75" x14ac:dyDescent="0.3">
      <c r="A2" s="71"/>
      <c r="B2" s="71"/>
    </row>
    <row r="3" spans="1:2" ht="18.75" x14ac:dyDescent="0.3">
      <c r="A3" s="173" t="s">
        <v>369</v>
      </c>
      <c r="B3" s="173" t="s">
        <v>370</v>
      </c>
    </row>
    <row r="4" spans="1:2" ht="18.75" x14ac:dyDescent="0.3">
      <c r="A4" s="174" t="s">
        <v>368</v>
      </c>
      <c r="B4" s="151">
        <v>50000</v>
      </c>
    </row>
    <row r="5" spans="1:2" ht="18.75" x14ac:dyDescent="0.3">
      <c r="A5" s="174" t="s">
        <v>365</v>
      </c>
      <c r="B5" s="151">
        <v>60000</v>
      </c>
    </row>
    <row r="6" spans="1:2" ht="18.75" x14ac:dyDescent="0.3">
      <c r="A6" s="174" t="s">
        <v>371</v>
      </c>
      <c r="B6" s="151">
        <v>70000</v>
      </c>
    </row>
    <row r="7" spans="1:2" ht="18.75" x14ac:dyDescent="0.3">
      <c r="A7" s="174" t="s">
        <v>372</v>
      </c>
      <c r="B7" s="151">
        <v>80000</v>
      </c>
    </row>
    <row r="8" spans="1:2" ht="18.75" x14ac:dyDescent="0.3">
      <c r="A8" s="174" t="s">
        <v>367</v>
      </c>
      <c r="B8" s="151">
        <v>90000</v>
      </c>
    </row>
    <row r="9" spans="1:2" ht="18.75" x14ac:dyDescent="0.3">
      <c r="A9" s="174" t="s">
        <v>364</v>
      </c>
      <c r="B9" s="151">
        <v>100000</v>
      </c>
    </row>
    <row r="10" spans="1:2" ht="18.75" x14ac:dyDescent="0.3">
      <c r="A10" s="174" t="s">
        <v>366</v>
      </c>
      <c r="B10" s="151">
        <v>110000</v>
      </c>
    </row>
    <row r="11" spans="1:2" ht="18.75" x14ac:dyDescent="0.3">
      <c r="A11" s="174" t="s">
        <v>373</v>
      </c>
      <c r="B11" s="151">
        <v>120000</v>
      </c>
    </row>
    <row r="12" spans="1:2" ht="18.75" x14ac:dyDescent="0.3">
      <c r="A12" s="174" t="s">
        <v>374</v>
      </c>
      <c r="B12" s="151">
        <v>130000</v>
      </c>
    </row>
    <row r="13" spans="1:2" ht="18.75" x14ac:dyDescent="0.3">
      <c r="A13" s="174" t="s">
        <v>375</v>
      </c>
      <c r="B13" s="151">
        <v>140000</v>
      </c>
    </row>
    <row r="14" spans="1:2" ht="18.75" x14ac:dyDescent="0.3">
      <c r="A14" s="174" t="s">
        <v>376</v>
      </c>
      <c r="B14" s="151">
        <v>150000</v>
      </c>
    </row>
    <row r="15" spans="1:2" ht="18.75" x14ac:dyDescent="0.3">
      <c r="A15" s="173" t="s">
        <v>283</v>
      </c>
      <c r="B15" s="152">
        <f>SUM(B4:B14)</f>
        <v>1100000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A9174-0E9E-47AC-A56A-43949AB9A27D}">
  <dimension ref="A1:B15"/>
  <sheetViews>
    <sheetView workbookViewId="0">
      <selection activeCell="B4" sqref="B4"/>
    </sheetView>
  </sheetViews>
  <sheetFormatPr defaultRowHeight="18.75" x14ac:dyDescent="0.3"/>
  <cols>
    <col min="1" max="1" width="21.85546875" style="71" bestFit="1" customWidth="1"/>
    <col min="2" max="2" width="16" style="71" customWidth="1"/>
    <col min="3" max="16384" width="9.140625" style="71"/>
  </cols>
  <sheetData>
    <row r="1" spans="1:2" x14ac:dyDescent="0.3">
      <c r="A1" s="71" t="s">
        <v>394</v>
      </c>
    </row>
    <row r="3" spans="1:2" x14ac:dyDescent="0.3">
      <c r="A3" s="149" t="s">
        <v>369</v>
      </c>
      <c r="B3" s="149" t="s">
        <v>370</v>
      </c>
    </row>
    <row r="4" spans="1:2" x14ac:dyDescent="0.3">
      <c r="A4" s="150" t="s">
        <v>368</v>
      </c>
      <c r="B4" s="151">
        <f>'Ref Jan'!B4</f>
        <v>230000</v>
      </c>
    </row>
    <row r="5" spans="1:2" x14ac:dyDescent="0.3">
      <c r="A5" s="150" t="s">
        <v>365</v>
      </c>
      <c r="B5" s="151">
        <v>100000</v>
      </c>
    </row>
    <row r="6" spans="1:2" x14ac:dyDescent="0.3">
      <c r="A6" s="150" t="s">
        <v>371</v>
      </c>
      <c r="B6" s="151">
        <v>1000000</v>
      </c>
    </row>
    <row r="7" spans="1:2" x14ac:dyDescent="0.3">
      <c r="A7" s="150" t="s">
        <v>372</v>
      </c>
      <c r="B7" s="151">
        <v>1100000</v>
      </c>
    </row>
    <row r="8" spans="1:2" x14ac:dyDescent="0.3">
      <c r="A8" s="150" t="s">
        <v>367</v>
      </c>
      <c r="B8" s="151">
        <v>1200000</v>
      </c>
    </row>
    <row r="9" spans="1:2" x14ac:dyDescent="0.3">
      <c r="A9" s="150" t="s">
        <v>364</v>
      </c>
      <c r="B9" s="151">
        <v>1300000</v>
      </c>
    </row>
    <row r="10" spans="1:2" x14ac:dyDescent="0.3">
      <c r="A10" s="150" t="s">
        <v>366</v>
      </c>
      <c r="B10" s="151">
        <v>1400000</v>
      </c>
    </row>
    <row r="11" spans="1:2" x14ac:dyDescent="0.3">
      <c r="A11" s="150" t="s">
        <v>373</v>
      </c>
      <c r="B11" s="151">
        <v>1500000</v>
      </c>
    </row>
    <row r="12" spans="1:2" x14ac:dyDescent="0.3">
      <c r="A12" s="150" t="s">
        <v>374</v>
      </c>
      <c r="B12" s="151">
        <v>1600000</v>
      </c>
    </row>
    <row r="13" spans="1:2" x14ac:dyDescent="0.3">
      <c r="A13" s="150" t="s">
        <v>375</v>
      </c>
      <c r="B13" s="151">
        <v>1700000</v>
      </c>
    </row>
    <row r="14" spans="1:2" x14ac:dyDescent="0.3">
      <c r="A14" s="150" t="s">
        <v>376</v>
      </c>
      <c r="B14" s="151">
        <v>1800000</v>
      </c>
    </row>
    <row r="15" spans="1:2" x14ac:dyDescent="0.3">
      <c r="A15" s="149" t="s">
        <v>283</v>
      </c>
      <c r="B15" s="152">
        <f>SUM(B4:B14)</f>
        <v>12930000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D61A2-4B1A-4FA4-89C2-7A9C71C453A4}">
  <dimension ref="A1:D18"/>
  <sheetViews>
    <sheetView topLeftCell="A2" workbookViewId="0">
      <selection activeCell="B4" sqref="B4"/>
    </sheetView>
  </sheetViews>
  <sheetFormatPr defaultRowHeight="18.75" x14ac:dyDescent="0.3"/>
  <cols>
    <col min="1" max="1" width="21.85546875" style="71" bestFit="1" customWidth="1"/>
    <col min="2" max="2" width="15" style="71" bestFit="1" customWidth="1"/>
    <col min="3" max="16384" width="9.140625" style="71"/>
  </cols>
  <sheetData>
    <row r="1" spans="1:4" x14ac:dyDescent="0.3">
      <c r="A1" s="71" t="s">
        <v>399</v>
      </c>
    </row>
    <row r="3" spans="1:4" x14ac:dyDescent="0.3">
      <c r="A3" s="149" t="s">
        <v>369</v>
      </c>
      <c r="B3" s="149" t="s">
        <v>370</v>
      </c>
    </row>
    <row r="4" spans="1:4" x14ac:dyDescent="0.3">
      <c r="A4" s="150" t="s">
        <v>368</v>
      </c>
      <c r="B4" s="151">
        <f>SUM('Ref Jan:Ref Mar'!B4)</f>
        <v>740000</v>
      </c>
      <c r="D4" s="71" t="s">
        <v>406</v>
      </c>
    </row>
    <row r="5" spans="1:4" x14ac:dyDescent="0.3">
      <c r="A5" s="150" t="s">
        <v>365</v>
      </c>
      <c r="B5" s="151"/>
    </row>
    <row r="6" spans="1:4" x14ac:dyDescent="0.3">
      <c r="A6" s="150" t="s">
        <v>371</v>
      </c>
      <c r="B6" s="151"/>
    </row>
    <row r="7" spans="1:4" x14ac:dyDescent="0.3">
      <c r="A7" s="150" t="s">
        <v>372</v>
      </c>
      <c r="B7" s="151"/>
    </row>
    <row r="8" spans="1:4" x14ac:dyDescent="0.3">
      <c r="A8" s="150" t="s">
        <v>367</v>
      </c>
      <c r="B8" s="151"/>
    </row>
    <row r="9" spans="1:4" x14ac:dyDescent="0.3">
      <c r="A9" s="150" t="s">
        <v>364</v>
      </c>
      <c r="B9" s="151"/>
    </row>
    <row r="10" spans="1:4" x14ac:dyDescent="0.3">
      <c r="A10" s="150" t="s">
        <v>366</v>
      </c>
      <c r="B10" s="151"/>
    </row>
    <row r="11" spans="1:4" x14ac:dyDescent="0.3">
      <c r="A11" s="150" t="s">
        <v>373</v>
      </c>
      <c r="B11" s="151"/>
    </row>
    <row r="12" spans="1:4" x14ac:dyDescent="0.3">
      <c r="A12" s="150" t="s">
        <v>374</v>
      </c>
      <c r="B12" s="151"/>
    </row>
    <row r="13" spans="1:4" x14ac:dyDescent="0.3">
      <c r="A13" s="150" t="s">
        <v>375</v>
      </c>
      <c r="B13" s="151"/>
    </row>
    <row r="14" spans="1:4" x14ac:dyDescent="0.3">
      <c r="A14" s="150" t="s">
        <v>376</v>
      </c>
      <c r="B14" s="151"/>
    </row>
    <row r="15" spans="1:4" x14ac:dyDescent="0.3">
      <c r="A15" s="149" t="s">
        <v>283</v>
      </c>
      <c r="B15" s="152">
        <f>SUM(B4:B14)</f>
        <v>740000</v>
      </c>
    </row>
    <row r="17" spans="2:2" x14ac:dyDescent="0.3">
      <c r="B17" s="70">
        <f>'Ref Jan'!B15+'Ref Feb'!B15+'FEB 2'!B15+'Ref Mar'!B15</f>
        <v>29184039.959999997</v>
      </c>
    </row>
    <row r="18" spans="2:2" x14ac:dyDescent="0.3">
      <c r="B18" s="172">
        <f>B15-B17</f>
        <v>-28444039.959999997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5D830-A891-49D4-B41D-66EF09DAC3CE}">
  <dimension ref="A1:B7"/>
  <sheetViews>
    <sheetView workbookViewId="0">
      <selection activeCell="B7" sqref="B7"/>
    </sheetView>
  </sheetViews>
  <sheetFormatPr defaultRowHeight="18.75" x14ac:dyDescent="0.3"/>
  <cols>
    <col min="1" max="1" width="25" style="71" bestFit="1" customWidth="1"/>
    <col min="2" max="2" width="15" style="71" bestFit="1" customWidth="1"/>
    <col min="3" max="16384" width="9.140625" style="71"/>
  </cols>
  <sheetData>
    <row r="1" spans="1:2" x14ac:dyDescent="0.3">
      <c r="A1" s="71" t="s">
        <v>395</v>
      </c>
    </row>
    <row r="3" spans="1:2" x14ac:dyDescent="0.3">
      <c r="A3" s="164" t="s">
        <v>398</v>
      </c>
      <c r="B3" s="163" t="s">
        <v>370</v>
      </c>
    </row>
    <row r="4" spans="1:2" x14ac:dyDescent="0.3">
      <c r="A4" s="171" t="s">
        <v>438</v>
      </c>
      <c r="B4" s="165">
        <v>690000</v>
      </c>
    </row>
    <row r="5" spans="1:2" x14ac:dyDescent="0.3">
      <c r="A5" s="171" t="s">
        <v>439</v>
      </c>
      <c r="B5" s="165">
        <v>516881.14</v>
      </c>
    </row>
    <row r="6" spans="1:2" x14ac:dyDescent="0.3">
      <c r="A6" s="171" t="s">
        <v>440</v>
      </c>
      <c r="B6" s="165">
        <v>200000</v>
      </c>
    </row>
    <row r="7" spans="1:2" x14ac:dyDescent="0.3">
      <c r="A7" s="182" t="s">
        <v>457</v>
      </c>
      <c r="B7" s="183">
        <v>150000</v>
      </c>
    </row>
  </sheetData>
  <pageMargins left="0.7" right="0.7" top="0.75" bottom="0.75" header="0.3" footer="0.3"/>
  <pageSetup orientation="portrait" horizontalDpi="0" verticalDpi="0" r:id="rId1"/>
  <drawing r:id="rId2"/>
  <tableParts count="1">
    <tablePart r:id="rId3"/>
  </tableParts>
  <extLst>
    <ext xmlns:x15="http://schemas.microsoft.com/office/spreadsheetml/2010/11/main" uri="{F7C9EE02-42E1-4005-9D12-6889AFFD525C}">
      <x15:webExtensions xmlns:xm="http://schemas.microsoft.com/office/excel/2006/main">
        <x15:webExtension appRef="{991E9529-963D-4462-9851-E2ADF60EBA4D}">
          <xm:f>'People Graph'!$A$3:$B$7</xm:f>
        </x15:webExtension>
      </x15:webExtens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737DB-137C-475C-B003-BA8293623CFB}">
  <dimension ref="A1"/>
  <sheetViews>
    <sheetView workbookViewId="0">
      <selection activeCell="A2" sqref="A2"/>
    </sheetView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FB8E8-06A1-4A6F-B639-A145794436DE}">
  <dimension ref="B2:F8"/>
  <sheetViews>
    <sheetView zoomScale="120" zoomScaleNormal="120" workbookViewId="0">
      <selection activeCell="F11" sqref="F11"/>
    </sheetView>
  </sheetViews>
  <sheetFormatPr defaultRowHeight="15" x14ac:dyDescent="0.25"/>
  <cols>
    <col min="1" max="1" width="9.140625" style="160"/>
    <col min="2" max="2" width="16.85546875" style="160" bestFit="1" customWidth="1"/>
    <col min="3" max="3" width="10.85546875" style="160" customWidth="1"/>
    <col min="4" max="16384" width="9.140625" style="160"/>
  </cols>
  <sheetData>
    <row r="2" spans="2:6" x14ac:dyDescent="0.25">
      <c r="B2" s="159" t="s">
        <v>402</v>
      </c>
    </row>
    <row r="3" spans="2:6" x14ac:dyDescent="0.25">
      <c r="B3" s="159"/>
    </row>
    <row r="4" spans="2:6" x14ac:dyDescent="0.25">
      <c r="B4" s="161" t="s">
        <v>403</v>
      </c>
      <c r="C4" s="161" t="s">
        <v>404</v>
      </c>
      <c r="D4" s="159"/>
    </row>
    <row r="5" spans="2:6" x14ac:dyDescent="0.25">
      <c r="B5" s="179" t="s">
        <v>364</v>
      </c>
      <c r="C5" s="185" t="s">
        <v>459</v>
      </c>
      <c r="E5" s="180"/>
    </row>
    <row r="6" spans="2:6" x14ac:dyDescent="0.25">
      <c r="B6" s="162" t="s">
        <v>365</v>
      </c>
      <c r="C6" s="185" t="s">
        <v>460</v>
      </c>
      <c r="F6" s="184" t="s">
        <v>458</v>
      </c>
    </row>
    <row r="7" spans="2:6" x14ac:dyDescent="0.25">
      <c r="B7" s="162" t="s">
        <v>405</v>
      </c>
      <c r="C7" s="186" t="s">
        <v>461</v>
      </c>
    </row>
    <row r="8" spans="2:6" x14ac:dyDescent="0.25">
      <c r="F8" s="187"/>
    </row>
  </sheetData>
  <pageMargins left="0.7" right="0.7" top="0.75" bottom="0.75" header="0.3" footer="0.3"/>
  <pageSetup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4">
    <tabColor rgb="FFFFFF00"/>
    <pageSetUpPr autoPageBreaks="0"/>
  </sheetPr>
  <dimension ref="A1:H742"/>
  <sheetViews>
    <sheetView zoomScale="120" zoomScaleNormal="120" zoomScaleSheetLayoutView="100" workbookViewId="0">
      <selection sqref="A1:H100"/>
    </sheetView>
  </sheetViews>
  <sheetFormatPr defaultColWidth="19.85546875" defaultRowHeight="12.75" x14ac:dyDescent="0.2"/>
  <cols>
    <col min="1" max="1" width="18.42578125" style="8" bestFit="1" customWidth="1"/>
    <col min="2" max="2" width="11.140625" style="21" bestFit="1" customWidth="1"/>
    <col min="3" max="3" width="13.28515625" style="24" bestFit="1" customWidth="1"/>
    <col min="4" max="4" width="9.5703125" style="9" bestFit="1" customWidth="1"/>
    <col min="5" max="5" width="5.28515625" style="18" bestFit="1" customWidth="1"/>
    <col min="6" max="6" width="11.140625" style="28" bestFit="1" customWidth="1"/>
    <col min="7" max="7" width="7.5703125" style="30" bestFit="1" customWidth="1"/>
    <col min="8" max="8" width="8.5703125" style="30" customWidth="1"/>
    <col min="9" max="16384" width="19.85546875" style="8"/>
  </cols>
  <sheetData>
    <row r="1" spans="1:8" ht="25.5" x14ac:dyDescent="0.2">
      <c r="A1" s="3" t="s">
        <v>0</v>
      </c>
      <c r="B1" s="19" t="s">
        <v>1</v>
      </c>
      <c r="C1" s="22" t="s">
        <v>2</v>
      </c>
      <c r="D1" s="4" t="s">
        <v>3</v>
      </c>
      <c r="E1" s="5" t="s">
        <v>4</v>
      </c>
      <c r="F1" s="26" t="s">
        <v>5</v>
      </c>
      <c r="G1" s="6" t="s">
        <v>286</v>
      </c>
      <c r="H1" s="7" t="s">
        <v>285</v>
      </c>
    </row>
    <row r="2" spans="1:8" x14ac:dyDescent="0.2">
      <c r="A2" s="8" t="s">
        <v>102</v>
      </c>
      <c r="B2" s="20">
        <v>885773638</v>
      </c>
      <c r="C2" s="25">
        <v>5032375580</v>
      </c>
      <c r="D2" s="9">
        <f>36952+(7*364)</f>
        <v>39500</v>
      </c>
      <c r="E2" s="10">
        <f t="shared" ref="E2:E33" ca="1" si="0">DATEDIF(D2,TODAY(),"Y")</f>
        <v>13</v>
      </c>
      <c r="F2" s="27">
        <v>5</v>
      </c>
      <c r="G2" s="29">
        <v>43472</v>
      </c>
      <c r="H2" s="30">
        <v>45085</v>
      </c>
    </row>
    <row r="3" spans="1:8" x14ac:dyDescent="0.2">
      <c r="A3" s="8" t="s">
        <v>121</v>
      </c>
      <c r="B3" s="20">
        <v>428024993</v>
      </c>
      <c r="C3" s="25">
        <v>2025228292</v>
      </c>
      <c r="D3" s="9">
        <f>34159+(7*364)</f>
        <v>36707</v>
      </c>
      <c r="E3" s="10">
        <f t="shared" ca="1" si="0"/>
        <v>20</v>
      </c>
      <c r="F3" s="27">
        <v>3</v>
      </c>
      <c r="G3" s="29">
        <v>91036</v>
      </c>
      <c r="H3" s="30">
        <v>94413</v>
      </c>
    </row>
    <row r="4" spans="1:8" x14ac:dyDescent="0.2">
      <c r="A4" s="8" t="s">
        <v>171</v>
      </c>
      <c r="B4" s="20">
        <v>799754905</v>
      </c>
      <c r="C4" s="25">
        <v>2126052545</v>
      </c>
      <c r="D4" s="9">
        <f>35772+(7*364)</f>
        <v>38320</v>
      </c>
      <c r="E4" s="10">
        <f t="shared" ca="1" si="0"/>
        <v>16</v>
      </c>
      <c r="F4" s="27">
        <v>4</v>
      </c>
      <c r="G4" s="29">
        <v>96745</v>
      </c>
      <c r="H4" s="30">
        <v>100334</v>
      </c>
    </row>
    <row r="5" spans="1:8" x14ac:dyDescent="0.2">
      <c r="A5" s="8" t="s">
        <v>43</v>
      </c>
      <c r="B5" s="20">
        <v>749768847</v>
      </c>
      <c r="C5" s="25">
        <v>3124137278</v>
      </c>
      <c r="D5" s="9">
        <f>39744+(7*364)</f>
        <v>42292</v>
      </c>
      <c r="E5" s="10">
        <f t="shared" ca="1" si="0"/>
        <v>5</v>
      </c>
      <c r="F5" s="27">
        <v>2</v>
      </c>
      <c r="G5" s="29">
        <v>43582</v>
      </c>
      <c r="H5" s="30">
        <v>45199</v>
      </c>
    </row>
    <row r="6" spans="1:8" x14ac:dyDescent="0.2">
      <c r="A6" s="8" t="s">
        <v>19</v>
      </c>
      <c r="B6" s="20">
        <v>627678686</v>
      </c>
      <c r="C6" s="25">
        <v>5037553017</v>
      </c>
      <c r="D6" s="9">
        <f>36238+(7*364)</f>
        <v>38786</v>
      </c>
      <c r="E6" s="10">
        <f t="shared" ca="1" si="0"/>
        <v>15</v>
      </c>
      <c r="F6" s="27">
        <v>2</v>
      </c>
      <c r="G6" s="29">
        <v>37191</v>
      </c>
      <c r="H6" s="30">
        <v>38570</v>
      </c>
    </row>
    <row r="7" spans="1:8" x14ac:dyDescent="0.2">
      <c r="A7" s="8" t="s">
        <v>16</v>
      </c>
      <c r="B7" s="20">
        <v>380343690</v>
      </c>
      <c r="C7" s="25">
        <v>2024618773</v>
      </c>
      <c r="D7" s="9">
        <f>39423+(7*364)</f>
        <v>41971</v>
      </c>
      <c r="E7" s="10">
        <f t="shared" ca="1" si="0"/>
        <v>6</v>
      </c>
      <c r="F7" s="27">
        <v>5</v>
      </c>
      <c r="G7" s="29">
        <v>85085</v>
      </c>
      <c r="H7" s="30">
        <v>88242</v>
      </c>
    </row>
    <row r="8" spans="1:8" x14ac:dyDescent="0.2">
      <c r="A8" s="8" t="s">
        <v>118</v>
      </c>
      <c r="B8" s="20">
        <v>667812117</v>
      </c>
      <c r="C8" s="25">
        <v>2121999230</v>
      </c>
      <c r="D8" s="9">
        <f>39296+(7*364)</f>
        <v>41844</v>
      </c>
      <c r="E8" s="10">
        <f t="shared" ca="1" si="0"/>
        <v>6</v>
      </c>
      <c r="F8" s="27">
        <v>5</v>
      </c>
      <c r="G8" s="29">
        <v>85910</v>
      </c>
      <c r="H8" s="30">
        <v>89098</v>
      </c>
    </row>
    <row r="9" spans="1:8" x14ac:dyDescent="0.2">
      <c r="A9" s="8" t="s">
        <v>246</v>
      </c>
      <c r="B9" s="20">
        <v>852430023</v>
      </c>
      <c r="C9" s="25">
        <v>5135981242</v>
      </c>
      <c r="D9" s="9">
        <f>32328+(7*364)</f>
        <v>34876</v>
      </c>
      <c r="E9" s="10">
        <f t="shared" ca="1" si="0"/>
        <v>25</v>
      </c>
      <c r="F9" s="27">
        <v>1</v>
      </c>
      <c r="G9" s="29">
        <v>49016</v>
      </c>
      <c r="H9" s="30">
        <v>50834</v>
      </c>
    </row>
    <row r="10" spans="1:8" x14ac:dyDescent="0.2">
      <c r="A10" s="8" t="s">
        <v>209</v>
      </c>
      <c r="B10" s="20">
        <v>945160038</v>
      </c>
      <c r="C10" s="25">
        <v>5136532463</v>
      </c>
      <c r="D10" s="9">
        <f>37491+(7*364)</f>
        <v>40039</v>
      </c>
      <c r="E10" s="10">
        <f t="shared" ca="1" si="0"/>
        <v>11</v>
      </c>
      <c r="F10" s="27">
        <v>5</v>
      </c>
      <c r="G10" s="29">
        <v>52382</v>
      </c>
      <c r="H10" s="30">
        <v>54326</v>
      </c>
    </row>
    <row r="11" spans="1:8" x14ac:dyDescent="0.2">
      <c r="A11" s="8" t="s">
        <v>158</v>
      </c>
      <c r="B11" s="20">
        <v>542214575</v>
      </c>
      <c r="C11" s="25">
        <v>3037312659</v>
      </c>
      <c r="D11" s="9">
        <f>34254+(7*364)</f>
        <v>36802</v>
      </c>
      <c r="E11" s="10">
        <f t="shared" ca="1" si="0"/>
        <v>20</v>
      </c>
      <c r="F11" s="27">
        <v>1</v>
      </c>
      <c r="G11" s="29">
        <v>50347</v>
      </c>
      <c r="H11" s="30">
        <v>52215</v>
      </c>
    </row>
    <row r="12" spans="1:8" x14ac:dyDescent="0.2">
      <c r="A12" s="8" t="s">
        <v>203</v>
      </c>
      <c r="B12" s="20">
        <v>292993080</v>
      </c>
      <c r="C12" s="25">
        <v>4155866679</v>
      </c>
      <c r="D12" s="9">
        <f>34425+(7*364)</f>
        <v>36973</v>
      </c>
      <c r="E12" s="10">
        <f t="shared" ca="1" si="0"/>
        <v>20</v>
      </c>
      <c r="F12" s="27">
        <v>4</v>
      </c>
      <c r="G12" s="29">
        <v>28809</v>
      </c>
      <c r="H12" s="30">
        <v>29878</v>
      </c>
    </row>
    <row r="13" spans="1:8" x14ac:dyDescent="0.2">
      <c r="A13" s="8" t="s">
        <v>191</v>
      </c>
      <c r="B13" s="20">
        <v>650784238</v>
      </c>
      <c r="C13" s="25">
        <v>4152339143</v>
      </c>
      <c r="D13" s="9">
        <f>36900+(7*364)</f>
        <v>39448</v>
      </c>
      <c r="E13" s="10">
        <f t="shared" ca="1" si="0"/>
        <v>13</v>
      </c>
      <c r="F13" s="27">
        <v>1</v>
      </c>
      <c r="G13" s="29">
        <v>69597</v>
      </c>
      <c r="H13" s="30">
        <v>72179</v>
      </c>
    </row>
    <row r="14" spans="1:8" x14ac:dyDescent="0.2">
      <c r="A14" s="8" t="s">
        <v>137</v>
      </c>
      <c r="B14" s="20">
        <v>167646549</v>
      </c>
      <c r="C14" s="25">
        <v>2027803578</v>
      </c>
      <c r="D14" s="9">
        <f>34256+(7*364)</f>
        <v>36804</v>
      </c>
      <c r="E14" s="10">
        <f t="shared" ca="1" si="0"/>
        <v>20</v>
      </c>
      <c r="F14" s="27">
        <v>2</v>
      </c>
      <c r="G14" s="29">
        <v>30118</v>
      </c>
      <c r="H14" s="30">
        <v>31236</v>
      </c>
    </row>
    <row r="15" spans="1:8" x14ac:dyDescent="0.2">
      <c r="A15" s="8" t="s">
        <v>180</v>
      </c>
      <c r="B15" s="20">
        <v>932787692</v>
      </c>
      <c r="C15" s="25">
        <v>3038356334</v>
      </c>
      <c r="D15" s="9">
        <f>32745+(7*364)</f>
        <v>35293</v>
      </c>
      <c r="E15" s="10">
        <f t="shared" ca="1" si="0"/>
        <v>24</v>
      </c>
      <c r="F15" s="27">
        <v>3</v>
      </c>
      <c r="G15" s="29">
        <v>36531</v>
      </c>
      <c r="H15" s="30">
        <v>37886</v>
      </c>
    </row>
    <row r="16" spans="1:8" x14ac:dyDescent="0.2">
      <c r="A16" s="8" t="s">
        <v>20</v>
      </c>
      <c r="B16" s="20">
        <v>462995574</v>
      </c>
      <c r="C16" s="25">
        <v>2022163497</v>
      </c>
      <c r="D16" s="9">
        <f>34684+(7*364)</f>
        <v>37232</v>
      </c>
      <c r="E16" s="10">
        <f t="shared" ca="1" si="0"/>
        <v>19</v>
      </c>
      <c r="F16" s="27">
        <v>3</v>
      </c>
      <c r="G16" s="29">
        <v>35101</v>
      </c>
      <c r="H16" s="30">
        <v>36403</v>
      </c>
    </row>
    <row r="17" spans="1:8" x14ac:dyDescent="0.2">
      <c r="A17" s="8" t="s">
        <v>39</v>
      </c>
      <c r="B17" s="20">
        <v>252582122</v>
      </c>
      <c r="C17" s="25">
        <v>2122924678</v>
      </c>
      <c r="D17" s="9">
        <f>35362+(7*364)</f>
        <v>37910</v>
      </c>
      <c r="E17" s="10">
        <f t="shared" ca="1" si="0"/>
        <v>17</v>
      </c>
      <c r="F17" s="27">
        <v>3</v>
      </c>
      <c r="G17" s="29">
        <v>31548</v>
      </c>
      <c r="H17" s="30">
        <v>32718</v>
      </c>
    </row>
    <row r="18" spans="1:8" x14ac:dyDescent="0.2">
      <c r="A18" s="8" t="s">
        <v>190</v>
      </c>
      <c r="B18" s="20">
        <v>534034571</v>
      </c>
      <c r="C18" s="25">
        <v>2025043141</v>
      </c>
      <c r="D18" s="9">
        <f>39790+(7*364)</f>
        <v>42338</v>
      </c>
      <c r="E18" s="10">
        <f t="shared" ca="1" si="0"/>
        <v>5</v>
      </c>
      <c r="F18" s="27">
        <v>4</v>
      </c>
      <c r="G18" s="29">
        <v>55627</v>
      </c>
      <c r="H18" s="30">
        <v>57691</v>
      </c>
    </row>
    <row r="19" spans="1:8" x14ac:dyDescent="0.2">
      <c r="A19" s="8" t="s">
        <v>173</v>
      </c>
      <c r="B19" s="20">
        <v>741258203</v>
      </c>
      <c r="C19" s="25">
        <v>2131544288</v>
      </c>
      <c r="D19" s="9">
        <f>34424+(7*364)</f>
        <v>36972</v>
      </c>
      <c r="E19" s="10">
        <f t="shared" ca="1" si="0"/>
        <v>20</v>
      </c>
      <c r="F19" s="27">
        <v>2</v>
      </c>
      <c r="G19" s="29">
        <v>31266</v>
      </c>
      <c r="H19" s="30">
        <v>32427</v>
      </c>
    </row>
    <row r="20" spans="1:8" x14ac:dyDescent="0.2">
      <c r="A20" s="8" t="s">
        <v>238</v>
      </c>
      <c r="B20" s="20">
        <v>959568761</v>
      </c>
      <c r="C20" s="25">
        <v>7203014821</v>
      </c>
      <c r="D20" s="9">
        <f>34582+(7*364)</f>
        <v>37130</v>
      </c>
      <c r="E20" s="10">
        <f t="shared" ca="1" si="0"/>
        <v>19</v>
      </c>
      <c r="F20" s="27">
        <v>2</v>
      </c>
      <c r="G20" s="29">
        <v>53009</v>
      </c>
      <c r="H20" s="30">
        <v>54976</v>
      </c>
    </row>
    <row r="21" spans="1:8" x14ac:dyDescent="0.2">
      <c r="A21" s="8" t="s">
        <v>146</v>
      </c>
      <c r="B21" s="20">
        <v>488831244</v>
      </c>
      <c r="C21" s="25">
        <v>3125876028</v>
      </c>
      <c r="D21" s="9">
        <f>34481+(7*364)</f>
        <v>37029</v>
      </c>
      <c r="E21" s="10">
        <f t="shared" ca="1" si="0"/>
        <v>19</v>
      </c>
      <c r="F21" s="27">
        <v>2</v>
      </c>
      <c r="G21" s="29">
        <v>92620</v>
      </c>
      <c r="H21" s="30">
        <v>96056</v>
      </c>
    </row>
    <row r="22" spans="1:8" x14ac:dyDescent="0.2">
      <c r="A22" s="8" t="s">
        <v>28</v>
      </c>
      <c r="B22" s="20">
        <v>285295419</v>
      </c>
      <c r="C22" s="25">
        <v>7202636321</v>
      </c>
      <c r="D22" s="9">
        <f>38827+(7*364)</f>
        <v>41375</v>
      </c>
      <c r="E22" s="10">
        <f t="shared" ca="1" si="0"/>
        <v>8</v>
      </c>
      <c r="F22" s="27">
        <v>5</v>
      </c>
      <c r="G22" s="29">
        <v>77836</v>
      </c>
      <c r="H22" s="30">
        <v>80724</v>
      </c>
    </row>
    <row r="23" spans="1:8" x14ac:dyDescent="0.2">
      <c r="A23" s="8" t="s">
        <v>166</v>
      </c>
      <c r="B23" s="20">
        <v>356242235</v>
      </c>
      <c r="C23" s="25">
        <v>3123986051</v>
      </c>
      <c r="D23" s="9">
        <f>32330+(7*364)</f>
        <v>34878</v>
      </c>
      <c r="E23" s="10">
        <f t="shared" ca="1" si="0"/>
        <v>25</v>
      </c>
      <c r="F23" s="27">
        <v>4</v>
      </c>
      <c r="G23" s="29">
        <v>29161</v>
      </c>
      <c r="H23" s="30">
        <v>30243</v>
      </c>
    </row>
    <row r="24" spans="1:8" x14ac:dyDescent="0.2">
      <c r="A24" s="8" t="s">
        <v>227</v>
      </c>
      <c r="B24" s="20">
        <v>369210573</v>
      </c>
      <c r="C24" s="25">
        <v>5418252392</v>
      </c>
      <c r="D24" s="9">
        <f>34739+(7*364)</f>
        <v>37287</v>
      </c>
      <c r="E24" s="10">
        <f t="shared" ca="1" si="0"/>
        <v>19</v>
      </c>
      <c r="F24" s="27">
        <v>5</v>
      </c>
      <c r="G24" s="29">
        <v>92730</v>
      </c>
      <c r="H24" s="30">
        <v>96171</v>
      </c>
    </row>
    <row r="25" spans="1:8" x14ac:dyDescent="0.2">
      <c r="A25" s="8" t="s">
        <v>110</v>
      </c>
      <c r="B25" s="20">
        <v>489667166</v>
      </c>
      <c r="C25" s="25">
        <v>513778776</v>
      </c>
      <c r="D25" s="9">
        <f>33574+(7*364)</f>
        <v>36122</v>
      </c>
      <c r="E25" s="10">
        <f t="shared" ca="1" si="0"/>
        <v>22</v>
      </c>
      <c r="F25" s="27">
        <v>2</v>
      </c>
      <c r="G25" s="29">
        <v>41536</v>
      </c>
      <c r="H25" s="30">
        <v>43077</v>
      </c>
    </row>
    <row r="26" spans="1:8" x14ac:dyDescent="0.2">
      <c r="A26" s="8" t="s">
        <v>75</v>
      </c>
      <c r="B26" s="20">
        <v>280304785</v>
      </c>
      <c r="C26" s="25">
        <v>2027764351</v>
      </c>
      <c r="D26" s="9">
        <f>35689+(7*364)</f>
        <v>38237</v>
      </c>
      <c r="E26" s="10">
        <f t="shared" ca="1" si="0"/>
        <v>16</v>
      </c>
      <c r="F26" s="27">
        <v>2</v>
      </c>
      <c r="G26" s="29">
        <v>54186</v>
      </c>
      <c r="H26" s="30">
        <v>56197</v>
      </c>
    </row>
    <row r="27" spans="1:8" x14ac:dyDescent="0.2">
      <c r="A27" s="8" t="s">
        <v>243</v>
      </c>
      <c r="B27" s="20">
        <v>279591317</v>
      </c>
      <c r="C27" s="25">
        <v>3038294156</v>
      </c>
      <c r="D27" s="9">
        <f>33051+(7*364)</f>
        <v>35599</v>
      </c>
      <c r="E27" s="10">
        <f t="shared" ca="1" si="0"/>
        <v>23</v>
      </c>
      <c r="F27" s="27">
        <v>1</v>
      </c>
      <c r="G27" s="29">
        <v>33088</v>
      </c>
      <c r="H27" s="30">
        <v>34316</v>
      </c>
    </row>
    <row r="28" spans="1:8" x14ac:dyDescent="0.2">
      <c r="A28" s="8" t="s">
        <v>148</v>
      </c>
      <c r="B28" s="20">
        <v>512405919</v>
      </c>
      <c r="C28" s="25">
        <v>5416443692</v>
      </c>
      <c r="D28" s="9">
        <f>37106+(7*364)</f>
        <v>39654</v>
      </c>
      <c r="E28" s="10">
        <f t="shared" ca="1" si="0"/>
        <v>12</v>
      </c>
      <c r="F28" s="27">
        <v>1</v>
      </c>
      <c r="G28" s="29">
        <v>67463</v>
      </c>
      <c r="H28" s="30">
        <v>69966</v>
      </c>
    </row>
    <row r="29" spans="1:8" x14ac:dyDescent="0.2">
      <c r="A29" s="8" t="s">
        <v>186</v>
      </c>
      <c r="B29" s="20">
        <v>272659955</v>
      </c>
      <c r="C29" s="25">
        <v>5415804771</v>
      </c>
      <c r="D29" s="9">
        <f>36577+(7*364)</f>
        <v>39125</v>
      </c>
      <c r="E29" s="10">
        <f t="shared" ca="1" si="0"/>
        <v>14</v>
      </c>
      <c r="F29" s="27">
        <v>1</v>
      </c>
      <c r="G29" s="29">
        <v>30316</v>
      </c>
      <c r="H29" s="30">
        <v>31440</v>
      </c>
    </row>
    <row r="30" spans="1:8" x14ac:dyDescent="0.2">
      <c r="A30" s="8" t="s">
        <v>219</v>
      </c>
      <c r="B30" s="20">
        <v>796685092</v>
      </c>
      <c r="C30" s="25">
        <v>3035178498</v>
      </c>
      <c r="D30" s="9">
        <f>35387+(7*364)</f>
        <v>37935</v>
      </c>
      <c r="E30" s="10">
        <f t="shared" ca="1" si="0"/>
        <v>17</v>
      </c>
      <c r="F30" s="27">
        <v>3</v>
      </c>
      <c r="G30" s="29">
        <v>49786</v>
      </c>
      <c r="H30" s="30">
        <v>51633</v>
      </c>
    </row>
    <row r="31" spans="1:8" x14ac:dyDescent="0.2">
      <c r="A31" s="8" t="s">
        <v>90</v>
      </c>
      <c r="B31" s="20">
        <v>207506781</v>
      </c>
      <c r="C31" s="25">
        <v>2137345539</v>
      </c>
      <c r="D31" s="9">
        <f>35502+(7*364)</f>
        <v>38050</v>
      </c>
      <c r="E31" s="10">
        <f t="shared" ca="1" si="0"/>
        <v>17</v>
      </c>
      <c r="F31" s="27">
        <v>5</v>
      </c>
      <c r="G31" s="29">
        <v>28413</v>
      </c>
      <c r="H31" s="30">
        <v>29467</v>
      </c>
    </row>
    <row r="32" spans="1:8" x14ac:dyDescent="0.2">
      <c r="A32" s="8" t="s">
        <v>247</v>
      </c>
      <c r="B32" s="20">
        <v>368385341</v>
      </c>
      <c r="C32" s="25">
        <v>2123327522</v>
      </c>
      <c r="D32" s="9">
        <f>35254+(7*364)</f>
        <v>37802</v>
      </c>
      <c r="E32" s="10">
        <f t="shared" ca="1" si="0"/>
        <v>17</v>
      </c>
      <c r="F32" s="27">
        <v>1</v>
      </c>
      <c r="G32" s="29">
        <v>94886</v>
      </c>
      <c r="H32" s="30">
        <v>98406</v>
      </c>
    </row>
    <row r="33" spans="1:8" x14ac:dyDescent="0.2">
      <c r="A33" s="8" t="s">
        <v>22</v>
      </c>
      <c r="B33" s="20">
        <v>134557291</v>
      </c>
      <c r="C33" s="25">
        <v>3032453666</v>
      </c>
      <c r="D33" s="9">
        <f>34141+(7*364)</f>
        <v>36689</v>
      </c>
      <c r="E33" s="10">
        <f t="shared" ca="1" si="0"/>
        <v>20</v>
      </c>
      <c r="F33" s="27">
        <v>1</v>
      </c>
      <c r="G33" s="29">
        <v>67263</v>
      </c>
      <c r="H33" s="30">
        <v>69759</v>
      </c>
    </row>
    <row r="34" spans="1:8" x14ac:dyDescent="0.2">
      <c r="A34" s="8" t="s">
        <v>211</v>
      </c>
      <c r="B34" s="20">
        <v>993867417</v>
      </c>
      <c r="C34" s="25">
        <v>7202602559</v>
      </c>
      <c r="D34" s="9">
        <f>39406+(7*364)</f>
        <v>41954</v>
      </c>
      <c r="E34" s="10">
        <f t="shared" ref="E34:E65" ca="1" si="1">DATEDIF(D34,TODAY(),"Y")</f>
        <v>6</v>
      </c>
      <c r="F34" s="27">
        <v>2</v>
      </c>
      <c r="G34" s="29">
        <v>12172</v>
      </c>
      <c r="H34" s="30">
        <v>12624</v>
      </c>
    </row>
    <row r="35" spans="1:8" x14ac:dyDescent="0.2">
      <c r="A35" s="8" t="s">
        <v>95</v>
      </c>
      <c r="B35" s="20">
        <v>635767088</v>
      </c>
      <c r="C35" s="25">
        <v>5033355100</v>
      </c>
      <c r="D35" s="9">
        <f>35012+(7*364)</f>
        <v>37560</v>
      </c>
      <c r="E35" s="10">
        <f t="shared" ca="1" si="1"/>
        <v>18</v>
      </c>
      <c r="F35" s="27">
        <v>3</v>
      </c>
      <c r="G35" s="29">
        <v>26015</v>
      </c>
      <c r="H35" s="30">
        <v>26980</v>
      </c>
    </row>
    <row r="36" spans="1:8" x14ac:dyDescent="0.2">
      <c r="A36" s="8" t="s">
        <v>232</v>
      </c>
      <c r="B36" s="20">
        <v>638495756</v>
      </c>
      <c r="C36" s="25">
        <v>503124785</v>
      </c>
      <c r="D36" s="9">
        <f>38699+(7*364)</f>
        <v>41247</v>
      </c>
      <c r="E36" s="10">
        <f t="shared" ca="1" si="1"/>
        <v>8</v>
      </c>
      <c r="F36" s="27">
        <v>2</v>
      </c>
      <c r="G36" s="29">
        <v>22031</v>
      </c>
      <c r="H36" s="30">
        <v>22848</v>
      </c>
    </row>
    <row r="37" spans="1:8" x14ac:dyDescent="0.2">
      <c r="A37" s="8" t="s">
        <v>30</v>
      </c>
      <c r="B37" s="20">
        <v>106966222</v>
      </c>
      <c r="C37" s="25">
        <v>2028561246</v>
      </c>
      <c r="D37" s="9">
        <f>33321+(7*364)</f>
        <v>35869</v>
      </c>
      <c r="E37" s="10">
        <f t="shared" ca="1" si="1"/>
        <v>23</v>
      </c>
      <c r="F37" s="27">
        <v>1</v>
      </c>
      <c r="G37" s="29">
        <v>50842</v>
      </c>
      <c r="H37" s="30">
        <v>52729</v>
      </c>
    </row>
    <row r="38" spans="1:8" x14ac:dyDescent="0.2">
      <c r="A38" s="8" t="s">
        <v>229</v>
      </c>
      <c r="B38" s="20">
        <v>294130565</v>
      </c>
      <c r="C38" s="25">
        <v>2025085320</v>
      </c>
      <c r="D38" s="9">
        <f>32993+(7*364)</f>
        <v>35541</v>
      </c>
      <c r="E38" s="10">
        <f t="shared" ca="1" si="1"/>
        <v>24</v>
      </c>
      <c r="F38" s="27">
        <v>3</v>
      </c>
      <c r="G38" s="29">
        <v>16183</v>
      </c>
      <c r="H38" s="30">
        <v>16784</v>
      </c>
    </row>
    <row r="39" spans="1:8" x14ac:dyDescent="0.2">
      <c r="A39" s="8" t="s">
        <v>150</v>
      </c>
      <c r="B39" s="20">
        <v>661850671</v>
      </c>
      <c r="C39" s="25">
        <v>3033386758</v>
      </c>
      <c r="D39" s="9">
        <f>35520+(7*364)</f>
        <v>38068</v>
      </c>
      <c r="E39" s="10">
        <f t="shared" ca="1" si="1"/>
        <v>17</v>
      </c>
      <c r="F39" s="27">
        <v>4</v>
      </c>
      <c r="G39" s="29">
        <v>31515</v>
      </c>
      <c r="H39" s="30">
        <v>32684</v>
      </c>
    </row>
    <row r="40" spans="1:8" x14ac:dyDescent="0.2">
      <c r="A40" s="8" t="s">
        <v>14</v>
      </c>
      <c r="B40" s="20">
        <v>160662505</v>
      </c>
      <c r="C40" s="25">
        <v>4152338778</v>
      </c>
      <c r="D40" s="9">
        <f>36804+(7*364)</f>
        <v>39352</v>
      </c>
      <c r="E40" s="10">
        <f t="shared" ca="1" si="1"/>
        <v>13</v>
      </c>
      <c r="F40" s="27">
        <v>5</v>
      </c>
      <c r="G40" s="29">
        <v>88968</v>
      </c>
      <c r="H40" s="30">
        <v>92269</v>
      </c>
    </row>
    <row r="41" spans="1:8" x14ac:dyDescent="0.2">
      <c r="A41" s="8" t="s">
        <v>231</v>
      </c>
      <c r="B41" s="20">
        <v>269873478</v>
      </c>
      <c r="C41" s="25">
        <v>4156109756</v>
      </c>
      <c r="D41" s="9">
        <f>34873+(7*364)</f>
        <v>37421</v>
      </c>
      <c r="E41" s="10">
        <f t="shared" ca="1" si="1"/>
        <v>18</v>
      </c>
      <c r="F41" s="27">
        <v>5</v>
      </c>
      <c r="G41" s="29">
        <v>27297</v>
      </c>
      <c r="H41" s="30">
        <v>28310</v>
      </c>
    </row>
    <row r="42" spans="1:8" x14ac:dyDescent="0.2">
      <c r="A42" s="8" t="s">
        <v>212</v>
      </c>
      <c r="B42" s="20">
        <v>125540405</v>
      </c>
      <c r="C42" s="25">
        <v>303463903</v>
      </c>
      <c r="D42" s="9">
        <f>32630+(7*364)</f>
        <v>35178</v>
      </c>
      <c r="E42" s="10">
        <f t="shared" ca="1" si="1"/>
        <v>25</v>
      </c>
      <c r="F42" s="27">
        <v>4</v>
      </c>
      <c r="G42" s="29">
        <v>53680</v>
      </c>
      <c r="H42" s="30">
        <v>55671</v>
      </c>
    </row>
    <row r="43" spans="1:8" x14ac:dyDescent="0.2">
      <c r="A43" s="8" t="s">
        <v>245</v>
      </c>
      <c r="B43" s="20">
        <v>264960848</v>
      </c>
      <c r="C43" s="25">
        <v>2133957018</v>
      </c>
      <c r="D43" s="9">
        <f>34549+(7*364)</f>
        <v>37097</v>
      </c>
      <c r="E43" s="10">
        <f t="shared" ca="1" si="1"/>
        <v>19</v>
      </c>
      <c r="F43" s="27">
        <v>3</v>
      </c>
      <c r="G43" s="29">
        <v>78881</v>
      </c>
      <c r="H43" s="30">
        <v>81807</v>
      </c>
    </row>
    <row r="44" spans="1:8" x14ac:dyDescent="0.2">
      <c r="A44" s="8" t="s">
        <v>176</v>
      </c>
      <c r="B44" s="20">
        <v>434927073</v>
      </c>
      <c r="C44" s="25">
        <v>3123909820</v>
      </c>
      <c r="D44" s="9">
        <f>38086+(7*364)</f>
        <v>40634</v>
      </c>
      <c r="E44" s="10">
        <f t="shared" ca="1" si="1"/>
        <v>10</v>
      </c>
      <c r="F44" s="27">
        <v>3</v>
      </c>
      <c r="G44" s="29">
        <v>73073</v>
      </c>
      <c r="H44" s="30">
        <v>75785</v>
      </c>
    </row>
    <row r="45" spans="1:8" x14ac:dyDescent="0.2">
      <c r="A45" s="8" t="s">
        <v>133</v>
      </c>
      <c r="B45" s="20">
        <v>474117484</v>
      </c>
      <c r="C45" s="25">
        <v>2123825834</v>
      </c>
      <c r="D45" s="9">
        <f>37697+(7*364)</f>
        <v>40245</v>
      </c>
      <c r="E45" s="10">
        <f t="shared" ca="1" si="1"/>
        <v>11</v>
      </c>
      <c r="F45" s="27">
        <v>4</v>
      </c>
      <c r="G45" s="29">
        <v>34012</v>
      </c>
      <c r="H45" s="30">
        <v>35274</v>
      </c>
    </row>
    <row r="46" spans="1:8" x14ac:dyDescent="0.2">
      <c r="A46" s="8" t="s">
        <v>162</v>
      </c>
      <c r="B46" s="20">
        <v>620336005</v>
      </c>
      <c r="C46" s="25">
        <v>2025478716</v>
      </c>
      <c r="D46" s="9">
        <f>36973+(7*364)</f>
        <v>39521</v>
      </c>
      <c r="E46" s="10">
        <f t="shared" ca="1" si="1"/>
        <v>13</v>
      </c>
      <c r="F46" s="27">
        <v>2</v>
      </c>
      <c r="G46" s="29">
        <v>70906</v>
      </c>
      <c r="H46" s="30">
        <v>73536</v>
      </c>
    </row>
    <row r="47" spans="1:8" x14ac:dyDescent="0.2">
      <c r="A47" s="8" t="s">
        <v>241</v>
      </c>
      <c r="B47" s="20">
        <v>302598687</v>
      </c>
      <c r="C47" s="25">
        <v>2138367725</v>
      </c>
      <c r="D47" s="9">
        <f>34657+(7*364)</f>
        <v>37205</v>
      </c>
      <c r="E47" s="10">
        <f t="shared" ca="1" si="1"/>
        <v>19</v>
      </c>
      <c r="F47" s="27">
        <v>2</v>
      </c>
      <c r="G47" s="29">
        <v>11700</v>
      </c>
      <c r="H47" s="30">
        <v>12134</v>
      </c>
    </row>
    <row r="48" spans="1:8" x14ac:dyDescent="0.2">
      <c r="A48" s="8" t="s">
        <v>84</v>
      </c>
      <c r="B48" s="20">
        <v>102159909</v>
      </c>
      <c r="C48" s="25">
        <v>3128082183</v>
      </c>
      <c r="D48" s="9">
        <f>33319+(7*364)</f>
        <v>35867</v>
      </c>
      <c r="E48" s="10">
        <f t="shared" ca="1" si="1"/>
        <v>23</v>
      </c>
      <c r="F48" s="27">
        <v>5</v>
      </c>
      <c r="G48" s="29">
        <v>70829</v>
      </c>
      <c r="H48" s="30">
        <v>73457</v>
      </c>
    </row>
    <row r="49" spans="1:8" x14ac:dyDescent="0.2">
      <c r="A49" s="8" t="s">
        <v>124</v>
      </c>
      <c r="B49" s="20">
        <v>452692136</v>
      </c>
      <c r="C49" s="25">
        <v>2127091949</v>
      </c>
      <c r="D49" s="9">
        <f>35313+(7*364)</f>
        <v>37861</v>
      </c>
      <c r="E49" s="10">
        <f t="shared" ca="1" si="1"/>
        <v>17</v>
      </c>
      <c r="F49" s="27">
        <v>5</v>
      </c>
      <c r="G49" s="29">
        <v>65285</v>
      </c>
      <c r="H49" s="30">
        <v>67707</v>
      </c>
    </row>
    <row r="50" spans="1:8" x14ac:dyDescent="0.2">
      <c r="A50" s="8" t="s">
        <v>228</v>
      </c>
      <c r="B50" s="20">
        <v>768681542</v>
      </c>
      <c r="C50" s="25">
        <v>4152005810</v>
      </c>
      <c r="D50" s="9">
        <f>34326+(7*364)</f>
        <v>36874</v>
      </c>
      <c r="E50" s="10">
        <f t="shared" ca="1" si="1"/>
        <v>20</v>
      </c>
      <c r="F50" s="27">
        <v>3</v>
      </c>
      <c r="G50" s="29">
        <v>73755</v>
      </c>
      <c r="H50" s="30">
        <v>76492</v>
      </c>
    </row>
    <row r="51" spans="1:8" x14ac:dyDescent="0.2">
      <c r="A51" s="8" t="s">
        <v>48</v>
      </c>
      <c r="B51" s="20">
        <v>147261161</v>
      </c>
      <c r="C51" s="25">
        <v>3122581491</v>
      </c>
      <c r="D51" s="9">
        <f>35439+(7*364)</f>
        <v>37987</v>
      </c>
      <c r="E51" s="10">
        <f t="shared" ca="1" si="1"/>
        <v>17</v>
      </c>
      <c r="F51" s="27">
        <v>3</v>
      </c>
      <c r="G51" s="29">
        <v>27181</v>
      </c>
      <c r="H51" s="30">
        <v>28190</v>
      </c>
    </row>
    <row r="52" spans="1:8" x14ac:dyDescent="0.2">
      <c r="A52" s="8" t="s">
        <v>206</v>
      </c>
      <c r="B52" s="20">
        <v>552528553</v>
      </c>
      <c r="C52" s="25">
        <v>2133265407</v>
      </c>
      <c r="D52" s="9">
        <f>39748+(7*364)</f>
        <v>42296</v>
      </c>
      <c r="E52" s="10">
        <f t="shared" ca="1" si="1"/>
        <v>5</v>
      </c>
      <c r="F52" s="27">
        <v>5</v>
      </c>
      <c r="G52" s="29">
        <v>79299</v>
      </c>
      <c r="H52" s="30">
        <v>82242</v>
      </c>
    </row>
    <row r="53" spans="1:8" x14ac:dyDescent="0.2">
      <c r="A53" s="8" t="s">
        <v>196</v>
      </c>
      <c r="B53" s="20">
        <v>978092408</v>
      </c>
      <c r="C53" s="25">
        <v>5036742736</v>
      </c>
      <c r="D53" s="9">
        <f>34264+(7*364)</f>
        <v>36812</v>
      </c>
      <c r="E53" s="10">
        <f t="shared" ca="1" si="1"/>
        <v>20</v>
      </c>
      <c r="F53" s="27">
        <v>2</v>
      </c>
      <c r="G53" s="29">
        <v>14779</v>
      </c>
      <c r="H53" s="30">
        <v>15326</v>
      </c>
    </row>
    <row r="54" spans="1:8" x14ac:dyDescent="0.2">
      <c r="A54" s="8" t="s">
        <v>107</v>
      </c>
      <c r="B54" s="20">
        <v>542051793</v>
      </c>
      <c r="C54" s="25">
        <v>7204727385</v>
      </c>
      <c r="D54" s="9">
        <f>35443+(7*364)</f>
        <v>37991</v>
      </c>
      <c r="E54" s="16">
        <f t="shared" ca="1" si="1"/>
        <v>17</v>
      </c>
      <c r="F54" s="27">
        <v>5</v>
      </c>
      <c r="G54" s="29">
        <v>16764</v>
      </c>
      <c r="H54" s="30">
        <v>17386</v>
      </c>
    </row>
    <row r="55" spans="1:8" x14ac:dyDescent="0.2">
      <c r="A55" s="8" t="s">
        <v>127</v>
      </c>
      <c r="B55" s="20">
        <v>407299017</v>
      </c>
      <c r="C55" s="25">
        <v>2028627048</v>
      </c>
      <c r="D55" s="9">
        <f>36640+(7*364)</f>
        <v>39188</v>
      </c>
      <c r="E55" s="10">
        <f t="shared" ca="1" si="1"/>
        <v>14</v>
      </c>
      <c r="F55" s="27">
        <v>1</v>
      </c>
      <c r="G55" s="29">
        <v>33858</v>
      </c>
      <c r="H55" s="30">
        <v>35114</v>
      </c>
    </row>
    <row r="56" spans="1:8" x14ac:dyDescent="0.2">
      <c r="A56" s="8" t="s">
        <v>160</v>
      </c>
      <c r="B56" s="20">
        <v>585815837</v>
      </c>
      <c r="C56" s="25">
        <v>5131549933</v>
      </c>
      <c r="D56" s="9">
        <f>32644+(7*364)</f>
        <v>35192</v>
      </c>
      <c r="E56" s="10">
        <f t="shared" ca="1" si="1"/>
        <v>24</v>
      </c>
      <c r="F56" s="27">
        <v>4</v>
      </c>
      <c r="G56" s="29">
        <v>67507</v>
      </c>
      <c r="H56" s="30">
        <v>70012</v>
      </c>
    </row>
    <row r="57" spans="1:8" x14ac:dyDescent="0.2">
      <c r="A57" s="8" t="s">
        <v>170</v>
      </c>
      <c r="B57" s="20">
        <v>948252103</v>
      </c>
      <c r="C57" s="25">
        <v>7201408985</v>
      </c>
      <c r="D57" s="9">
        <f>39093+(7*364)</f>
        <v>41641</v>
      </c>
      <c r="E57" s="10">
        <f t="shared" ca="1" si="1"/>
        <v>7</v>
      </c>
      <c r="F57" s="27">
        <v>1</v>
      </c>
      <c r="G57" s="29">
        <v>72611</v>
      </c>
      <c r="H57" s="30">
        <v>75305</v>
      </c>
    </row>
    <row r="58" spans="1:8" x14ac:dyDescent="0.2">
      <c r="A58" s="8" t="s">
        <v>155</v>
      </c>
      <c r="B58" s="20">
        <v>523758324</v>
      </c>
      <c r="C58" s="25">
        <v>2123938131</v>
      </c>
      <c r="D58" s="9">
        <f>36188+(7*364)</f>
        <v>38736</v>
      </c>
      <c r="E58" s="10">
        <f t="shared" ca="1" si="1"/>
        <v>15</v>
      </c>
      <c r="F58" s="27">
        <v>1</v>
      </c>
      <c r="G58" s="29">
        <v>50413</v>
      </c>
      <c r="H58" s="30">
        <v>52283</v>
      </c>
    </row>
    <row r="59" spans="1:8" x14ac:dyDescent="0.2">
      <c r="A59" s="8" t="s">
        <v>210</v>
      </c>
      <c r="B59" s="20">
        <v>481336564</v>
      </c>
      <c r="C59" s="25">
        <v>2135165289</v>
      </c>
      <c r="D59" s="9">
        <f>32353+(7*364)</f>
        <v>34901</v>
      </c>
      <c r="E59" s="10">
        <f t="shared" ca="1" si="1"/>
        <v>25</v>
      </c>
      <c r="F59" s="27">
        <v>5</v>
      </c>
      <c r="G59" s="29">
        <v>88132</v>
      </c>
      <c r="H59" s="30">
        <v>91401</v>
      </c>
    </row>
    <row r="60" spans="1:8" x14ac:dyDescent="0.2">
      <c r="A60" s="8" t="s">
        <v>204</v>
      </c>
      <c r="B60" s="20">
        <v>649292883</v>
      </c>
      <c r="C60" s="25">
        <v>2134733288</v>
      </c>
      <c r="D60" s="9">
        <f>33336+(7*364)</f>
        <v>35884</v>
      </c>
      <c r="E60" s="10">
        <f t="shared" ca="1" si="1"/>
        <v>23</v>
      </c>
      <c r="F60" s="27">
        <v>2</v>
      </c>
      <c r="G60" s="29">
        <v>30232</v>
      </c>
      <c r="H60" s="30">
        <v>31354</v>
      </c>
    </row>
    <row r="61" spans="1:8" x14ac:dyDescent="0.2">
      <c r="A61" s="8" t="s">
        <v>130</v>
      </c>
      <c r="B61" s="20">
        <v>364404060</v>
      </c>
      <c r="C61" s="25">
        <v>5135185281</v>
      </c>
      <c r="D61" s="9">
        <f>34530+(7*364)</f>
        <v>37078</v>
      </c>
      <c r="E61" s="10">
        <f t="shared" ca="1" si="1"/>
        <v>19</v>
      </c>
      <c r="F61" s="27">
        <v>1</v>
      </c>
      <c r="G61" s="29">
        <v>75361</v>
      </c>
      <c r="H61" s="30">
        <v>78157</v>
      </c>
    </row>
    <row r="62" spans="1:8" x14ac:dyDescent="0.2">
      <c r="A62" s="8" t="s">
        <v>128</v>
      </c>
      <c r="B62" s="20">
        <v>478004556</v>
      </c>
      <c r="C62" s="25">
        <v>2121593705</v>
      </c>
      <c r="D62" s="9">
        <f>35488+(7*364)</f>
        <v>38036</v>
      </c>
      <c r="E62" s="10">
        <f t="shared" ca="1" si="1"/>
        <v>17</v>
      </c>
      <c r="F62" s="27">
        <v>1</v>
      </c>
      <c r="G62" s="29">
        <v>67540</v>
      </c>
      <c r="H62" s="30">
        <v>70046</v>
      </c>
    </row>
    <row r="63" spans="1:8" x14ac:dyDescent="0.2">
      <c r="A63" s="8" t="s">
        <v>218</v>
      </c>
      <c r="B63" s="20">
        <v>924942231</v>
      </c>
      <c r="C63" s="25">
        <v>3033451072</v>
      </c>
      <c r="D63" s="9">
        <f>33065+(7*364)</f>
        <v>35613</v>
      </c>
      <c r="E63" s="10">
        <f t="shared" ca="1" si="1"/>
        <v>23</v>
      </c>
      <c r="F63" s="27">
        <v>1</v>
      </c>
      <c r="G63" s="29">
        <v>59400</v>
      </c>
      <c r="H63" s="30">
        <v>61603</v>
      </c>
    </row>
    <row r="64" spans="1:8" x14ac:dyDescent="0.2">
      <c r="A64" s="8" t="s">
        <v>106</v>
      </c>
      <c r="B64" s="20">
        <v>569882669</v>
      </c>
      <c r="C64" s="25">
        <v>5131391475</v>
      </c>
      <c r="D64" s="9">
        <f>34971+(7*364)</f>
        <v>37519</v>
      </c>
      <c r="E64" s="10">
        <f t="shared" ca="1" si="1"/>
        <v>18</v>
      </c>
      <c r="F64" s="27">
        <v>5</v>
      </c>
      <c r="G64" s="29">
        <v>63360</v>
      </c>
      <c r="H64" s="30">
        <v>65711</v>
      </c>
    </row>
    <row r="65" spans="1:8" x14ac:dyDescent="0.2">
      <c r="A65" s="8" t="s">
        <v>215</v>
      </c>
      <c r="B65" s="20">
        <v>917195248</v>
      </c>
      <c r="C65" s="25">
        <v>7206555049</v>
      </c>
      <c r="D65" s="9">
        <f>35868+(7*364)</f>
        <v>38416</v>
      </c>
      <c r="E65" s="10">
        <f t="shared" ca="1" si="1"/>
        <v>16</v>
      </c>
      <c r="F65" s="27">
        <v>4</v>
      </c>
      <c r="G65" s="29">
        <v>78265</v>
      </c>
      <c r="H65" s="30">
        <v>81169</v>
      </c>
    </row>
    <row r="66" spans="1:8" x14ac:dyDescent="0.2">
      <c r="A66" s="8" t="s">
        <v>156</v>
      </c>
      <c r="B66" s="20">
        <v>551132018</v>
      </c>
      <c r="C66" s="25">
        <v>3126801348</v>
      </c>
      <c r="D66" s="9">
        <f>35129+(7*364)</f>
        <v>37677</v>
      </c>
      <c r="E66" s="10">
        <f t="shared" ref="E66:E97" ca="1" si="2">DATEDIF(D66,TODAY(),"Y")</f>
        <v>18</v>
      </c>
      <c r="F66" s="27">
        <v>4</v>
      </c>
      <c r="G66" s="29">
        <v>17617</v>
      </c>
      <c r="H66" s="30">
        <v>18270</v>
      </c>
    </row>
    <row r="67" spans="1:8" x14ac:dyDescent="0.2">
      <c r="A67" s="8" t="s">
        <v>54</v>
      </c>
      <c r="B67" s="20">
        <v>557568959</v>
      </c>
      <c r="C67" s="25">
        <v>5135261239</v>
      </c>
      <c r="D67" s="9">
        <f>33256+(7*364)</f>
        <v>35804</v>
      </c>
      <c r="E67" s="10">
        <f t="shared" ca="1" si="2"/>
        <v>23</v>
      </c>
      <c r="F67" s="27">
        <v>1</v>
      </c>
      <c r="G67" s="29">
        <v>92587</v>
      </c>
      <c r="H67" s="30">
        <v>96022</v>
      </c>
    </row>
    <row r="68" spans="1:8" x14ac:dyDescent="0.2">
      <c r="A68" s="8" t="s">
        <v>108</v>
      </c>
      <c r="B68" s="20">
        <v>443238477</v>
      </c>
      <c r="C68" s="25">
        <v>7204919418</v>
      </c>
      <c r="D68" s="9">
        <f>32683+(7*364)</f>
        <v>35231</v>
      </c>
      <c r="E68" s="10">
        <f t="shared" ca="1" si="2"/>
        <v>24</v>
      </c>
      <c r="F68" s="27">
        <v>1</v>
      </c>
      <c r="G68" s="29">
        <v>69663</v>
      </c>
      <c r="H68" s="30">
        <v>72248</v>
      </c>
    </row>
    <row r="69" spans="1:8" x14ac:dyDescent="0.2">
      <c r="A69" s="8" t="s">
        <v>242</v>
      </c>
      <c r="B69" s="20">
        <v>570756015</v>
      </c>
      <c r="C69" s="25">
        <v>7201376854</v>
      </c>
      <c r="D69" s="9">
        <f>35530+(7*364)</f>
        <v>38078</v>
      </c>
      <c r="E69" s="10">
        <f t="shared" ca="1" si="2"/>
        <v>17</v>
      </c>
      <c r="F69" s="27">
        <v>3</v>
      </c>
      <c r="G69" s="29">
        <v>31086</v>
      </c>
      <c r="H69" s="30">
        <v>32239</v>
      </c>
    </row>
    <row r="70" spans="1:8" x14ac:dyDescent="0.2">
      <c r="A70" s="8" t="s">
        <v>208</v>
      </c>
      <c r="B70" s="20">
        <v>984570981</v>
      </c>
      <c r="C70" s="25">
        <v>5418444054</v>
      </c>
      <c r="D70" s="9">
        <f>37666+(7*364)</f>
        <v>40214</v>
      </c>
      <c r="E70" s="10">
        <f t="shared" ca="1" si="2"/>
        <v>11</v>
      </c>
      <c r="F70" s="27">
        <v>5</v>
      </c>
      <c r="G70" s="29">
        <v>90178</v>
      </c>
      <c r="H70" s="30">
        <v>93523</v>
      </c>
    </row>
    <row r="71" spans="1:8" x14ac:dyDescent="0.2">
      <c r="A71" s="8" t="s">
        <v>144</v>
      </c>
      <c r="B71" s="20">
        <v>145495793</v>
      </c>
      <c r="C71" s="25">
        <v>3032387348</v>
      </c>
      <c r="D71" s="9">
        <f>35673+(7*364)</f>
        <v>38221</v>
      </c>
      <c r="E71" s="10">
        <f t="shared" ca="1" si="2"/>
        <v>16</v>
      </c>
      <c r="F71" s="27">
        <v>2</v>
      </c>
      <c r="G71" s="29">
        <v>84084</v>
      </c>
      <c r="H71" s="30">
        <v>87204</v>
      </c>
    </row>
    <row r="72" spans="1:8" x14ac:dyDescent="0.2">
      <c r="A72" s="8" t="s">
        <v>135</v>
      </c>
      <c r="B72" s="20">
        <v>479081328</v>
      </c>
      <c r="C72" s="25">
        <v>5034252315</v>
      </c>
      <c r="D72" s="9">
        <f>34002+(7*364)</f>
        <v>36550</v>
      </c>
      <c r="E72" s="10">
        <f t="shared" ca="1" si="2"/>
        <v>21</v>
      </c>
      <c r="F72" s="27">
        <v>4</v>
      </c>
      <c r="G72" s="29">
        <v>35024</v>
      </c>
      <c r="H72" s="30">
        <v>36323</v>
      </c>
    </row>
    <row r="73" spans="1:8" x14ac:dyDescent="0.2">
      <c r="A73" s="8" t="s">
        <v>151</v>
      </c>
      <c r="B73" s="20">
        <v>237359447</v>
      </c>
      <c r="C73" s="25">
        <v>5413575849</v>
      </c>
      <c r="D73" s="9">
        <f>32519+(7*364)</f>
        <v>35067</v>
      </c>
      <c r="E73" s="10">
        <f t="shared" ca="1" si="2"/>
        <v>25</v>
      </c>
      <c r="F73" s="27">
        <v>2</v>
      </c>
      <c r="G73" s="29">
        <v>78309</v>
      </c>
      <c r="H73" s="30">
        <v>81214</v>
      </c>
    </row>
    <row r="74" spans="1:8" x14ac:dyDescent="0.2">
      <c r="A74" s="8" t="s">
        <v>111</v>
      </c>
      <c r="B74" s="20">
        <v>622274162</v>
      </c>
      <c r="C74" s="25">
        <v>7206088101</v>
      </c>
      <c r="D74" s="9">
        <f>39433+(7*364)</f>
        <v>41981</v>
      </c>
      <c r="E74" s="10">
        <f t="shared" ca="1" si="2"/>
        <v>6</v>
      </c>
      <c r="F74" s="27">
        <v>1</v>
      </c>
      <c r="G74" s="29">
        <v>9781</v>
      </c>
      <c r="H74" s="30">
        <v>10144</v>
      </c>
    </row>
    <row r="75" spans="1:8" x14ac:dyDescent="0.2">
      <c r="A75" s="8" t="s">
        <v>136</v>
      </c>
      <c r="B75" s="20">
        <v>918436287</v>
      </c>
      <c r="C75" s="25">
        <v>4153967339</v>
      </c>
      <c r="D75" s="9">
        <f>33164+(7*364)</f>
        <v>35712</v>
      </c>
      <c r="E75" s="10">
        <f t="shared" ca="1" si="2"/>
        <v>23</v>
      </c>
      <c r="F75" s="27">
        <v>3</v>
      </c>
      <c r="G75" s="29">
        <v>33490</v>
      </c>
      <c r="H75" s="30">
        <v>34733</v>
      </c>
    </row>
    <row r="76" spans="1:8" x14ac:dyDescent="0.2">
      <c r="A76" s="8" t="s">
        <v>98</v>
      </c>
      <c r="B76" s="20">
        <v>931105030</v>
      </c>
      <c r="C76" s="25">
        <v>3122263363</v>
      </c>
      <c r="D76" s="9">
        <f>32956+(7*364)</f>
        <v>35504</v>
      </c>
      <c r="E76" s="10">
        <f t="shared" ca="1" si="2"/>
        <v>24</v>
      </c>
      <c r="F76" s="27">
        <v>4</v>
      </c>
      <c r="G76" s="29">
        <v>29579</v>
      </c>
      <c r="H76" s="30">
        <v>30677</v>
      </c>
    </row>
    <row r="77" spans="1:8" x14ac:dyDescent="0.2">
      <c r="A77" s="8" t="s">
        <v>125</v>
      </c>
      <c r="B77" s="20">
        <v>313358310</v>
      </c>
      <c r="C77" s="25">
        <v>5038159919</v>
      </c>
      <c r="D77" s="9">
        <f>32282+(7*364)</f>
        <v>34830</v>
      </c>
      <c r="E77" s="10">
        <f t="shared" ca="1" si="2"/>
        <v>25</v>
      </c>
      <c r="F77" s="27">
        <v>3</v>
      </c>
      <c r="G77" s="29">
        <v>63272</v>
      </c>
      <c r="H77" s="30">
        <v>65619</v>
      </c>
    </row>
    <row r="78" spans="1:8" x14ac:dyDescent="0.2">
      <c r="A78" s="8" t="s">
        <v>193</v>
      </c>
      <c r="B78" s="20">
        <v>561968668</v>
      </c>
      <c r="C78" s="25">
        <v>5032683895</v>
      </c>
      <c r="D78" s="9">
        <f>33787+(7*364)</f>
        <v>36335</v>
      </c>
      <c r="E78" s="10">
        <f t="shared" ca="1" si="2"/>
        <v>21</v>
      </c>
      <c r="F78" s="27">
        <v>5</v>
      </c>
      <c r="G78" s="29">
        <v>65054</v>
      </c>
      <c r="H78" s="30">
        <v>67467</v>
      </c>
    </row>
    <row r="79" spans="1:8" x14ac:dyDescent="0.2">
      <c r="A79" s="8" t="s">
        <v>233</v>
      </c>
      <c r="B79" s="20">
        <v>855663308</v>
      </c>
      <c r="C79" s="25">
        <v>5036114005</v>
      </c>
      <c r="D79" s="9">
        <f>36147+(7*364)</f>
        <v>38695</v>
      </c>
      <c r="E79" s="10">
        <f t="shared" ca="1" si="2"/>
        <v>15</v>
      </c>
      <c r="F79" s="27">
        <v>4</v>
      </c>
      <c r="G79" s="29">
        <v>25718</v>
      </c>
      <c r="H79" s="30">
        <v>26672</v>
      </c>
    </row>
    <row r="80" spans="1:8" x14ac:dyDescent="0.2">
      <c r="A80" s="8" t="s">
        <v>109</v>
      </c>
      <c r="B80" s="20">
        <v>355985853</v>
      </c>
      <c r="C80" s="25">
        <v>5411276517</v>
      </c>
      <c r="D80" s="9">
        <f>34844+(7*364)</f>
        <v>37392</v>
      </c>
      <c r="E80" s="10">
        <f t="shared" ca="1" si="2"/>
        <v>18</v>
      </c>
      <c r="F80" s="27">
        <v>5</v>
      </c>
      <c r="G80" s="29">
        <v>75625</v>
      </c>
      <c r="H80" s="30">
        <v>78431</v>
      </c>
    </row>
    <row r="81" spans="1:8" x14ac:dyDescent="0.2">
      <c r="A81" s="8" t="s">
        <v>214</v>
      </c>
      <c r="B81" s="20">
        <v>676534152</v>
      </c>
      <c r="C81" s="25">
        <v>3127687161</v>
      </c>
      <c r="D81" s="9">
        <f>38715+(7*364)</f>
        <v>41263</v>
      </c>
      <c r="E81" s="10">
        <f t="shared" ca="1" si="2"/>
        <v>8</v>
      </c>
      <c r="F81" s="27">
        <v>5</v>
      </c>
      <c r="G81" s="29">
        <v>32094</v>
      </c>
      <c r="H81" s="30">
        <v>33284</v>
      </c>
    </row>
    <row r="82" spans="1:8" x14ac:dyDescent="0.2">
      <c r="A82" s="8" t="s">
        <v>184</v>
      </c>
      <c r="B82" s="20">
        <v>462650472</v>
      </c>
      <c r="C82" s="25">
        <v>2128304204</v>
      </c>
      <c r="D82" s="9">
        <f>34698+(7*364)</f>
        <v>37246</v>
      </c>
      <c r="E82" s="10">
        <f t="shared" ca="1" si="2"/>
        <v>19</v>
      </c>
      <c r="F82" s="27">
        <v>5</v>
      </c>
      <c r="G82" s="29">
        <v>68046</v>
      </c>
      <c r="H82" s="30">
        <v>70571</v>
      </c>
    </row>
    <row r="83" spans="1:8" x14ac:dyDescent="0.2">
      <c r="A83" s="8" t="s">
        <v>222</v>
      </c>
      <c r="B83" s="20">
        <v>168147877</v>
      </c>
      <c r="C83" s="25">
        <v>5412433774</v>
      </c>
      <c r="D83" s="9">
        <f>34999+(7*364)</f>
        <v>37547</v>
      </c>
      <c r="E83" s="10">
        <f t="shared" ca="1" si="2"/>
        <v>18</v>
      </c>
      <c r="F83" s="27">
        <v>2</v>
      </c>
      <c r="G83" s="29">
        <v>70917</v>
      </c>
      <c r="H83" s="30">
        <v>73548</v>
      </c>
    </row>
    <row r="84" spans="1:8" x14ac:dyDescent="0.2">
      <c r="A84" s="8" t="s">
        <v>181</v>
      </c>
      <c r="B84" s="20">
        <v>843299208</v>
      </c>
      <c r="C84" s="25">
        <v>3036698101</v>
      </c>
      <c r="D84" s="9">
        <f>39483+(7*364)</f>
        <v>42031</v>
      </c>
      <c r="E84" s="10">
        <f t="shared" ca="1" si="2"/>
        <v>6</v>
      </c>
      <c r="F84" s="27">
        <v>2</v>
      </c>
      <c r="G84" s="29">
        <v>48202</v>
      </c>
      <c r="H84" s="30">
        <v>49991</v>
      </c>
    </row>
    <row r="85" spans="1:8" x14ac:dyDescent="0.2">
      <c r="A85" s="8" t="s">
        <v>183</v>
      </c>
      <c r="B85" s="20">
        <v>415076748</v>
      </c>
      <c r="C85" s="25">
        <v>5134605984</v>
      </c>
      <c r="D85" s="9">
        <f>32450+(7*364)</f>
        <v>34998</v>
      </c>
      <c r="E85" s="10">
        <f t="shared" ca="1" si="2"/>
        <v>25</v>
      </c>
      <c r="F85" s="27">
        <v>5</v>
      </c>
      <c r="G85" s="29">
        <v>19509</v>
      </c>
      <c r="H85" s="30">
        <v>20232</v>
      </c>
    </row>
    <row r="86" spans="1:8" x14ac:dyDescent="0.2">
      <c r="A86" s="8" t="s">
        <v>239</v>
      </c>
      <c r="B86" s="20">
        <v>414905182</v>
      </c>
      <c r="C86" s="25">
        <v>5133498222</v>
      </c>
      <c r="D86" s="9">
        <f>34045+(7*364)</f>
        <v>36593</v>
      </c>
      <c r="E86" s="10">
        <f t="shared" ca="1" si="2"/>
        <v>21</v>
      </c>
      <c r="F86" s="27">
        <v>1</v>
      </c>
      <c r="G86" s="29">
        <v>73612</v>
      </c>
      <c r="H86" s="30">
        <v>76343</v>
      </c>
    </row>
    <row r="87" spans="1:8" x14ac:dyDescent="0.2">
      <c r="A87" s="8" t="s">
        <v>87</v>
      </c>
      <c r="B87" s="20">
        <v>366740174</v>
      </c>
      <c r="C87" s="25">
        <v>2135627374</v>
      </c>
      <c r="D87" s="9">
        <f>32848+(7*364)</f>
        <v>35396</v>
      </c>
      <c r="E87" s="10">
        <f t="shared" ca="1" si="2"/>
        <v>24</v>
      </c>
      <c r="F87" s="27">
        <v>1</v>
      </c>
      <c r="G87" s="29">
        <v>86427</v>
      </c>
      <c r="H87" s="30">
        <v>89634</v>
      </c>
    </row>
    <row r="88" spans="1:8" x14ac:dyDescent="0.2">
      <c r="A88" s="8" t="s">
        <v>11</v>
      </c>
      <c r="B88" s="20">
        <v>290385638</v>
      </c>
      <c r="C88" s="25">
        <v>4158097539</v>
      </c>
      <c r="D88" s="9">
        <f>35142+(7*364)</f>
        <v>37690</v>
      </c>
      <c r="E88" s="10">
        <f t="shared" ca="1" si="2"/>
        <v>18</v>
      </c>
      <c r="F88" s="27">
        <v>1</v>
      </c>
      <c r="G88" s="29">
        <v>85745</v>
      </c>
      <c r="H88" s="30">
        <v>88926</v>
      </c>
    </row>
    <row r="89" spans="1:8" x14ac:dyDescent="0.2">
      <c r="A89" s="8" t="s">
        <v>93</v>
      </c>
      <c r="B89" s="20">
        <v>132016163</v>
      </c>
      <c r="C89" s="25">
        <v>5133262077</v>
      </c>
      <c r="D89" s="9">
        <f>36574+(7*364)</f>
        <v>39122</v>
      </c>
      <c r="E89" s="10">
        <f t="shared" ca="1" si="2"/>
        <v>14</v>
      </c>
      <c r="F89" s="27">
        <v>1</v>
      </c>
      <c r="G89" s="29">
        <v>51601</v>
      </c>
      <c r="H89" s="30">
        <v>53515</v>
      </c>
    </row>
    <row r="90" spans="1:8" x14ac:dyDescent="0.2">
      <c r="A90" s="8" t="s">
        <v>132</v>
      </c>
      <c r="B90" s="20">
        <v>451159170</v>
      </c>
      <c r="C90" s="25">
        <v>4151789943</v>
      </c>
      <c r="D90" s="9">
        <f>34071+(7*364)</f>
        <v>36619</v>
      </c>
      <c r="E90" s="10">
        <f t="shared" ca="1" si="2"/>
        <v>21</v>
      </c>
      <c r="F90" s="27">
        <v>3</v>
      </c>
      <c r="G90" s="29">
        <v>78837</v>
      </c>
      <c r="H90" s="30">
        <v>81762</v>
      </c>
    </row>
    <row r="91" spans="1:8" x14ac:dyDescent="0.2">
      <c r="A91" s="8" t="s">
        <v>163</v>
      </c>
      <c r="B91" s="20">
        <v>948189231</v>
      </c>
      <c r="C91" s="25">
        <v>4154125146</v>
      </c>
      <c r="D91" s="9">
        <f>39322+(7*364)</f>
        <v>41870</v>
      </c>
      <c r="E91" s="10">
        <f t="shared" ca="1" si="2"/>
        <v>6</v>
      </c>
      <c r="F91" s="27">
        <v>4</v>
      </c>
      <c r="G91" s="29">
        <v>66066</v>
      </c>
      <c r="H91" s="30">
        <v>68517</v>
      </c>
    </row>
    <row r="92" spans="1:8" x14ac:dyDescent="0.2">
      <c r="A92" s="8" t="s">
        <v>139</v>
      </c>
      <c r="B92" s="20">
        <v>983047016</v>
      </c>
      <c r="C92" s="25">
        <v>4157288082</v>
      </c>
      <c r="D92" s="9">
        <f>37243+(7*364)</f>
        <v>39791</v>
      </c>
      <c r="E92" s="10">
        <f t="shared" ca="1" si="2"/>
        <v>12</v>
      </c>
      <c r="F92" s="27">
        <v>4</v>
      </c>
      <c r="G92" s="29">
        <v>85492</v>
      </c>
      <c r="H92" s="30">
        <v>88663</v>
      </c>
    </row>
    <row r="93" spans="1:8" x14ac:dyDescent="0.2">
      <c r="A93" s="8" t="s">
        <v>224</v>
      </c>
      <c r="B93" s="20">
        <v>216607562</v>
      </c>
      <c r="C93" s="25">
        <v>2136999991</v>
      </c>
      <c r="D93" s="9">
        <f>(34977+(7*364))+(7*364)</f>
        <v>40073</v>
      </c>
      <c r="E93" s="10">
        <f t="shared" ca="1" si="2"/>
        <v>11</v>
      </c>
      <c r="F93" s="27">
        <v>3</v>
      </c>
      <c r="G93" s="29">
        <v>20521</v>
      </c>
      <c r="H93" s="30">
        <v>21282</v>
      </c>
    </row>
    <row r="94" spans="1:8" x14ac:dyDescent="0.2">
      <c r="A94" s="8" t="s">
        <v>172</v>
      </c>
      <c r="B94" s="20">
        <v>113252240</v>
      </c>
      <c r="C94" s="25">
        <v>5416609693</v>
      </c>
      <c r="D94" s="9">
        <f>32891+(7*364)</f>
        <v>35439</v>
      </c>
      <c r="E94" s="10">
        <f t="shared" ca="1" si="2"/>
        <v>24</v>
      </c>
      <c r="F94" s="27">
        <v>4</v>
      </c>
      <c r="G94" s="29">
        <v>36555</v>
      </c>
      <c r="H94" s="30">
        <v>37912</v>
      </c>
    </row>
    <row r="95" spans="1:8" x14ac:dyDescent="0.2">
      <c r="A95" s="8" t="s">
        <v>149</v>
      </c>
      <c r="B95" s="20">
        <v>895408697</v>
      </c>
      <c r="C95" s="25">
        <v>2138561612</v>
      </c>
      <c r="D95" s="9">
        <f>35807+(7*364)</f>
        <v>38355</v>
      </c>
      <c r="E95" s="10">
        <f t="shared" ca="1" si="2"/>
        <v>16</v>
      </c>
      <c r="F95" s="27">
        <v>3</v>
      </c>
      <c r="G95" s="29">
        <v>45777</v>
      </c>
      <c r="H95" s="30">
        <v>47475</v>
      </c>
    </row>
    <row r="96" spans="1:8" x14ac:dyDescent="0.2">
      <c r="A96" s="8" t="s">
        <v>248</v>
      </c>
      <c r="B96" s="20">
        <v>781472289</v>
      </c>
      <c r="C96" s="25">
        <v>3127686976</v>
      </c>
      <c r="D96" s="9">
        <f>35091+(7*364)</f>
        <v>37639</v>
      </c>
      <c r="E96" s="10">
        <f t="shared" ca="1" si="2"/>
        <v>18</v>
      </c>
      <c r="F96" s="27">
        <v>4</v>
      </c>
      <c r="G96" s="29">
        <v>43230</v>
      </c>
      <c r="H96" s="30">
        <v>44834</v>
      </c>
    </row>
    <row r="97" spans="1:8" x14ac:dyDescent="0.2">
      <c r="A97" s="8" t="s">
        <v>31</v>
      </c>
      <c r="B97" s="20">
        <v>788832967</v>
      </c>
      <c r="C97" s="25">
        <v>5411191599</v>
      </c>
      <c r="D97" s="9">
        <f>38953+(7*364)</f>
        <v>41501</v>
      </c>
      <c r="E97" s="10">
        <f t="shared" ca="1" si="2"/>
        <v>7</v>
      </c>
      <c r="F97" s="27">
        <v>1</v>
      </c>
      <c r="G97" s="29">
        <v>39182</v>
      </c>
      <c r="H97" s="30">
        <v>40636</v>
      </c>
    </row>
    <row r="98" spans="1:8" x14ac:dyDescent="0.2">
      <c r="A98" s="8" t="s">
        <v>167</v>
      </c>
      <c r="B98" s="20">
        <v>130619578</v>
      </c>
      <c r="C98" s="25">
        <v>2126503334</v>
      </c>
      <c r="D98" s="9">
        <f>34289+(7*364)</f>
        <v>36837</v>
      </c>
      <c r="E98" s="10">
        <f t="shared" ref="E98:E100" ca="1" si="3">DATEDIF(D98,TODAY(),"Y")</f>
        <v>20</v>
      </c>
      <c r="F98" s="27">
        <v>5</v>
      </c>
      <c r="G98" s="29">
        <v>98241</v>
      </c>
      <c r="H98" s="30">
        <v>101885</v>
      </c>
    </row>
    <row r="99" spans="1:8" x14ac:dyDescent="0.2">
      <c r="A99" s="8" t="s">
        <v>217</v>
      </c>
      <c r="B99" s="20">
        <v>126492342</v>
      </c>
      <c r="C99" s="25">
        <v>5031156902</v>
      </c>
      <c r="D99" s="9">
        <f>38518+(7*364)</f>
        <v>41066</v>
      </c>
      <c r="E99" s="10">
        <f t="shared" ca="1" si="3"/>
        <v>8</v>
      </c>
      <c r="F99" s="27">
        <v>3</v>
      </c>
      <c r="G99" s="29">
        <v>72611</v>
      </c>
      <c r="H99" s="30">
        <v>75305</v>
      </c>
    </row>
    <row r="100" spans="1:8" x14ac:dyDescent="0.2">
      <c r="A100" s="8" t="s">
        <v>221</v>
      </c>
      <c r="B100" s="20">
        <v>889210902</v>
      </c>
      <c r="C100" s="25">
        <v>5411124357</v>
      </c>
      <c r="D100" s="9">
        <f>39379+(7*364)</f>
        <v>41927</v>
      </c>
      <c r="E100" s="10">
        <f t="shared" ca="1" si="3"/>
        <v>6</v>
      </c>
      <c r="F100" s="27">
        <v>3</v>
      </c>
      <c r="G100" s="29">
        <v>53719</v>
      </c>
      <c r="H100" s="30">
        <v>55712</v>
      </c>
    </row>
    <row r="101" spans="1:8" x14ac:dyDescent="0.2">
      <c r="B101" s="20"/>
      <c r="C101" s="23"/>
      <c r="E101" s="10"/>
      <c r="F101" s="27"/>
      <c r="G101" s="29"/>
    </row>
    <row r="102" spans="1:8" x14ac:dyDescent="0.2">
      <c r="B102" s="20"/>
      <c r="C102" s="23"/>
      <c r="E102" s="10"/>
      <c r="F102" s="27"/>
      <c r="G102" s="29"/>
    </row>
    <row r="103" spans="1:8" x14ac:dyDescent="0.2">
      <c r="B103" s="20"/>
      <c r="C103" s="23"/>
      <c r="E103" s="10"/>
      <c r="F103" s="27"/>
      <c r="G103" s="29"/>
    </row>
    <row r="104" spans="1:8" x14ac:dyDescent="0.2">
      <c r="B104" s="20"/>
      <c r="C104" s="23"/>
      <c r="E104" s="10"/>
      <c r="F104" s="27"/>
      <c r="G104" s="29"/>
    </row>
    <row r="105" spans="1:8" x14ac:dyDescent="0.2">
      <c r="B105" s="20"/>
      <c r="C105" s="23"/>
      <c r="E105" s="10"/>
      <c r="F105" s="27"/>
      <c r="G105" s="29"/>
    </row>
    <row r="106" spans="1:8" x14ac:dyDescent="0.2">
      <c r="B106" s="20"/>
      <c r="C106" s="23"/>
      <c r="E106" s="10"/>
      <c r="F106" s="27"/>
      <c r="G106" s="29"/>
    </row>
    <row r="107" spans="1:8" x14ac:dyDescent="0.2">
      <c r="B107" s="20"/>
      <c r="C107" s="23"/>
      <c r="E107" s="10"/>
      <c r="F107" s="27"/>
      <c r="G107" s="29"/>
    </row>
    <row r="108" spans="1:8" x14ac:dyDescent="0.2">
      <c r="B108" s="20"/>
      <c r="C108" s="23"/>
      <c r="E108" s="10"/>
      <c r="F108" s="27"/>
      <c r="G108" s="29"/>
    </row>
    <row r="109" spans="1:8" x14ac:dyDescent="0.2">
      <c r="B109" s="20"/>
      <c r="C109" s="23"/>
      <c r="E109" s="10"/>
      <c r="F109" s="27"/>
      <c r="G109" s="29"/>
    </row>
    <row r="110" spans="1:8" x14ac:dyDescent="0.2">
      <c r="B110" s="20"/>
      <c r="C110" s="23"/>
      <c r="E110" s="10"/>
      <c r="F110" s="27"/>
      <c r="G110" s="29"/>
    </row>
    <row r="111" spans="1:8" x14ac:dyDescent="0.2">
      <c r="B111" s="20"/>
      <c r="C111" s="23"/>
      <c r="E111" s="10"/>
      <c r="F111" s="27"/>
      <c r="G111" s="29"/>
    </row>
    <row r="112" spans="1:8" x14ac:dyDescent="0.2">
      <c r="B112" s="20"/>
      <c r="C112" s="23"/>
      <c r="E112" s="10"/>
      <c r="F112" s="27"/>
      <c r="G112" s="29"/>
    </row>
    <row r="113" spans="2:7" x14ac:dyDescent="0.2">
      <c r="B113" s="20"/>
      <c r="C113" s="23"/>
      <c r="E113" s="10"/>
      <c r="F113" s="27"/>
      <c r="G113" s="29"/>
    </row>
    <row r="114" spans="2:7" x14ac:dyDescent="0.2">
      <c r="B114" s="20"/>
      <c r="C114" s="23"/>
      <c r="E114" s="10"/>
      <c r="F114" s="27"/>
      <c r="G114" s="29"/>
    </row>
    <row r="115" spans="2:7" x14ac:dyDescent="0.2">
      <c r="B115" s="20"/>
      <c r="C115" s="23"/>
      <c r="E115" s="10"/>
      <c r="F115" s="27"/>
      <c r="G115" s="29"/>
    </row>
    <row r="116" spans="2:7" x14ac:dyDescent="0.2">
      <c r="B116" s="20"/>
      <c r="C116" s="23"/>
      <c r="E116" s="10"/>
      <c r="F116" s="27"/>
      <c r="G116" s="29"/>
    </row>
    <row r="117" spans="2:7" x14ac:dyDescent="0.2">
      <c r="B117" s="20"/>
      <c r="C117" s="23"/>
      <c r="E117" s="10"/>
      <c r="F117" s="27"/>
      <c r="G117" s="29"/>
    </row>
    <row r="118" spans="2:7" x14ac:dyDescent="0.2">
      <c r="B118" s="20"/>
      <c r="C118" s="23"/>
      <c r="E118" s="10"/>
      <c r="F118" s="27"/>
      <c r="G118" s="29"/>
    </row>
    <row r="119" spans="2:7" x14ac:dyDescent="0.2">
      <c r="B119" s="20"/>
      <c r="C119" s="23"/>
      <c r="E119" s="10"/>
      <c r="F119" s="27"/>
      <c r="G119" s="29"/>
    </row>
    <row r="120" spans="2:7" x14ac:dyDescent="0.2">
      <c r="B120" s="20"/>
      <c r="C120" s="23"/>
      <c r="E120" s="10"/>
      <c r="F120" s="27"/>
      <c r="G120" s="29"/>
    </row>
    <row r="121" spans="2:7" x14ac:dyDescent="0.2">
      <c r="B121" s="20"/>
      <c r="C121" s="23"/>
      <c r="E121" s="10"/>
      <c r="F121" s="27"/>
      <c r="G121" s="29"/>
    </row>
    <row r="122" spans="2:7" x14ac:dyDescent="0.2">
      <c r="B122" s="20"/>
      <c r="C122" s="23"/>
      <c r="E122" s="10"/>
      <c r="F122" s="27"/>
      <c r="G122" s="29"/>
    </row>
    <row r="123" spans="2:7" x14ac:dyDescent="0.2">
      <c r="B123" s="20"/>
      <c r="C123" s="23"/>
      <c r="E123" s="10"/>
      <c r="F123" s="27"/>
      <c r="G123" s="29"/>
    </row>
    <row r="124" spans="2:7" x14ac:dyDescent="0.2">
      <c r="B124" s="20"/>
      <c r="C124" s="23"/>
      <c r="E124" s="10"/>
      <c r="F124" s="27"/>
      <c r="G124" s="29"/>
    </row>
    <row r="125" spans="2:7" x14ac:dyDescent="0.2">
      <c r="B125" s="20"/>
      <c r="C125" s="23"/>
      <c r="E125" s="10"/>
      <c r="F125" s="27"/>
      <c r="G125" s="29"/>
    </row>
    <row r="126" spans="2:7" x14ac:dyDescent="0.2">
      <c r="B126" s="20"/>
      <c r="C126" s="23"/>
      <c r="E126" s="10"/>
      <c r="F126" s="27"/>
      <c r="G126" s="29"/>
    </row>
    <row r="127" spans="2:7" x14ac:dyDescent="0.2">
      <c r="B127" s="20"/>
      <c r="C127" s="23"/>
      <c r="E127" s="10"/>
      <c r="F127" s="27"/>
      <c r="G127" s="29"/>
    </row>
    <row r="128" spans="2:7" x14ac:dyDescent="0.2">
      <c r="B128" s="20"/>
      <c r="C128" s="23"/>
      <c r="E128" s="10"/>
      <c r="F128" s="27"/>
      <c r="G128" s="29"/>
    </row>
    <row r="129" spans="2:7" x14ac:dyDescent="0.2">
      <c r="B129" s="20"/>
      <c r="C129" s="23"/>
      <c r="E129" s="10"/>
      <c r="F129" s="27"/>
      <c r="G129" s="29"/>
    </row>
    <row r="130" spans="2:7" x14ac:dyDescent="0.2">
      <c r="B130" s="20"/>
      <c r="C130" s="23"/>
      <c r="E130" s="10"/>
      <c r="F130" s="27"/>
      <c r="G130" s="29"/>
    </row>
    <row r="131" spans="2:7" x14ac:dyDescent="0.2">
      <c r="B131" s="20"/>
      <c r="C131" s="23"/>
      <c r="E131" s="10"/>
      <c r="F131" s="27"/>
      <c r="G131" s="29"/>
    </row>
    <row r="132" spans="2:7" x14ac:dyDescent="0.2">
      <c r="B132" s="20"/>
      <c r="C132" s="23"/>
      <c r="E132" s="10"/>
      <c r="F132" s="27"/>
      <c r="G132" s="29"/>
    </row>
    <row r="133" spans="2:7" x14ac:dyDescent="0.2">
      <c r="B133" s="20"/>
      <c r="C133" s="23"/>
      <c r="E133" s="10"/>
      <c r="F133" s="27"/>
      <c r="G133" s="29"/>
    </row>
    <row r="134" spans="2:7" x14ac:dyDescent="0.2">
      <c r="B134" s="20"/>
      <c r="C134" s="23"/>
      <c r="E134" s="10"/>
      <c r="F134" s="27"/>
      <c r="G134" s="29"/>
    </row>
    <row r="135" spans="2:7" x14ac:dyDescent="0.2">
      <c r="B135" s="20"/>
      <c r="C135" s="23"/>
      <c r="E135" s="10"/>
      <c r="F135" s="27"/>
      <c r="G135" s="29"/>
    </row>
    <row r="136" spans="2:7" x14ac:dyDescent="0.2">
      <c r="B136" s="20"/>
      <c r="C136" s="23"/>
      <c r="E136" s="10"/>
      <c r="F136" s="27"/>
      <c r="G136" s="29"/>
    </row>
    <row r="137" spans="2:7" x14ac:dyDescent="0.2">
      <c r="B137" s="20"/>
      <c r="C137" s="23"/>
      <c r="E137" s="10"/>
      <c r="F137" s="27"/>
      <c r="G137" s="29"/>
    </row>
    <row r="138" spans="2:7" x14ac:dyDescent="0.2">
      <c r="B138" s="20"/>
      <c r="C138" s="23"/>
      <c r="E138" s="10"/>
      <c r="F138" s="27"/>
      <c r="G138" s="29"/>
    </row>
    <row r="139" spans="2:7" x14ac:dyDescent="0.2">
      <c r="B139" s="20"/>
      <c r="C139" s="23"/>
      <c r="D139" s="14"/>
      <c r="E139" s="10"/>
      <c r="F139" s="27"/>
      <c r="G139" s="29"/>
    </row>
    <row r="140" spans="2:7" x14ac:dyDescent="0.2">
      <c r="B140" s="20"/>
      <c r="C140" s="23"/>
      <c r="E140" s="10"/>
      <c r="F140" s="27"/>
      <c r="G140" s="29"/>
    </row>
    <row r="141" spans="2:7" x14ac:dyDescent="0.2">
      <c r="B141" s="20"/>
      <c r="C141" s="23"/>
      <c r="E141" s="10"/>
      <c r="F141" s="27"/>
      <c r="G141" s="29"/>
    </row>
    <row r="142" spans="2:7" x14ac:dyDescent="0.2">
      <c r="B142" s="20"/>
      <c r="C142" s="23"/>
      <c r="E142" s="10"/>
      <c r="F142" s="27"/>
      <c r="G142" s="29"/>
    </row>
    <row r="143" spans="2:7" x14ac:dyDescent="0.2">
      <c r="B143" s="20"/>
      <c r="C143" s="23"/>
      <c r="E143" s="10"/>
      <c r="F143" s="27"/>
      <c r="G143" s="29"/>
    </row>
    <row r="144" spans="2:7" x14ac:dyDescent="0.2">
      <c r="B144" s="20"/>
      <c r="C144" s="23"/>
      <c r="E144" s="10"/>
      <c r="F144" s="27"/>
      <c r="G144" s="29"/>
    </row>
    <row r="145" spans="2:7" x14ac:dyDescent="0.2">
      <c r="B145" s="20"/>
      <c r="C145" s="23"/>
      <c r="E145" s="10"/>
      <c r="F145" s="27"/>
      <c r="G145" s="29"/>
    </row>
    <row r="146" spans="2:7" x14ac:dyDescent="0.2">
      <c r="B146" s="20"/>
      <c r="C146" s="23"/>
      <c r="D146" s="14"/>
      <c r="E146" s="10"/>
      <c r="F146" s="27"/>
      <c r="G146" s="29"/>
    </row>
    <row r="147" spans="2:7" x14ac:dyDescent="0.2">
      <c r="B147" s="20"/>
      <c r="C147" s="23"/>
      <c r="E147" s="10"/>
      <c r="F147" s="27"/>
      <c r="G147" s="29"/>
    </row>
    <row r="148" spans="2:7" x14ac:dyDescent="0.2">
      <c r="B148" s="20"/>
      <c r="C148" s="23"/>
      <c r="E148" s="10"/>
      <c r="F148" s="27"/>
      <c r="G148" s="29"/>
    </row>
    <row r="149" spans="2:7" x14ac:dyDescent="0.2">
      <c r="B149" s="20"/>
      <c r="C149" s="23"/>
      <c r="E149" s="10"/>
      <c r="F149" s="27"/>
      <c r="G149" s="29"/>
    </row>
    <row r="150" spans="2:7" x14ac:dyDescent="0.2">
      <c r="B150" s="20"/>
      <c r="C150" s="23"/>
      <c r="E150" s="10"/>
      <c r="F150" s="27"/>
      <c r="G150" s="29"/>
    </row>
    <row r="151" spans="2:7" x14ac:dyDescent="0.2">
      <c r="B151" s="20"/>
      <c r="C151" s="23"/>
      <c r="E151" s="10"/>
      <c r="F151" s="27"/>
      <c r="G151" s="29"/>
    </row>
    <row r="152" spans="2:7" x14ac:dyDescent="0.2">
      <c r="B152" s="20"/>
      <c r="C152" s="23"/>
      <c r="E152" s="10"/>
      <c r="F152" s="27"/>
      <c r="G152" s="29"/>
    </row>
    <row r="153" spans="2:7" x14ac:dyDescent="0.2">
      <c r="B153" s="20"/>
      <c r="C153" s="23"/>
      <c r="E153" s="10"/>
      <c r="F153" s="27"/>
      <c r="G153" s="29"/>
    </row>
    <row r="154" spans="2:7" x14ac:dyDescent="0.2">
      <c r="B154" s="20"/>
      <c r="C154" s="23"/>
      <c r="E154" s="10"/>
      <c r="F154" s="27"/>
      <c r="G154" s="29"/>
    </row>
    <row r="155" spans="2:7" x14ac:dyDescent="0.2">
      <c r="B155" s="20"/>
      <c r="C155" s="23"/>
      <c r="E155" s="10"/>
      <c r="F155" s="27"/>
      <c r="G155" s="29"/>
    </row>
    <row r="156" spans="2:7" x14ac:dyDescent="0.2">
      <c r="B156" s="20"/>
      <c r="C156" s="23"/>
      <c r="E156" s="10"/>
      <c r="F156" s="27"/>
      <c r="G156" s="29"/>
    </row>
    <row r="157" spans="2:7" x14ac:dyDescent="0.2">
      <c r="B157" s="20"/>
      <c r="C157" s="23"/>
      <c r="E157" s="10"/>
      <c r="F157" s="27"/>
      <c r="G157" s="29"/>
    </row>
    <row r="158" spans="2:7" x14ac:dyDescent="0.2">
      <c r="B158" s="20"/>
      <c r="C158" s="23"/>
      <c r="E158" s="10"/>
      <c r="F158" s="27"/>
      <c r="G158" s="29"/>
    </row>
    <row r="159" spans="2:7" x14ac:dyDescent="0.2">
      <c r="B159" s="20"/>
      <c r="C159" s="23"/>
      <c r="E159" s="10"/>
      <c r="F159" s="27"/>
      <c r="G159" s="29"/>
    </row>
    <row r="160" spans="2:7" x14ac:dyDescent="0.2">
      <c r="B160" s="20"/>
      <c r="C160" s="23"/>
      <c r="E160" s="10"/>
      <c r="F160" s="27"/>
      <c r="G160" s="29"/>
    </row>
    <row r="161" spans="2:7" x14ac:dyDescent="0.2">
      <c r="B161" s="20"/>
      <c r="C161" s="23"/>
      <c r="E161" s="10"/>
      <c r="F161" s="27"/>
      <c r="G161" s="29"/>
    </row>
    <row r="162" spans="2:7" x14ac:dyDescent="0.2">
      <c r="B162" s="20"/>
      <c r="C162" s="23"/>
      <c r="E162" s="10"/>
      <c r="F162" s="27"/>
      <c r="G162" s="29"/>
    </row>
    <row r="163" spans="2:7" x14ac:dyDescent="0.2">
      <c r="B163" s="20"/>
      <c r="C163" s="23"/>
      <c r="E163" s="10"/>
      <c r="F163" s="27"/>
      <c r="G163" s="29"/>
    </row>
    <row r="164" spans="2:7" x14ac:dyDescent="0.2">
      <c r="B164" s="20"/>
      <c r="C164" s="23"/>
      <c r="E164" s="10"/>
      <c r="F164" s="27"/>
      <c r="G164" s="29"/>
    </row>
    <row r="165" spans="2:7" x14ac:dyDescent="0.2">
      <c r="B165" s="20"/>
      <c r="C165" s="23"/>
      <c r="E165" s="10"/>
      <c r="F165" s="27"/>
      <c r="G165" s="29"/>
    </row>
    <row r="166" spans="2:7" x14ac:dyDescent="0.2">
      <c r="B166" s="20"/>
      <c r="C166" s="23"/>
      <c r="E166" s="10"/>
      <c r="F166" s="27"/>
      <c r="G166" s="29"/>
    </row>
    <row r="167" spans="2:7" x14ac:dyDescent="0.2">
      <c r="B167" s="20"/>
      <c r="C167" s="23"/>
      <c r="E167" s="10"/>
      <c r="F167" s="27"/>
      <c r="G167" s="29"/>
    </row>
    <row r="168" spans="2:7" x14ac:dyDescent="0.2">
      <c r="B168" s="20"/>
      <c r="C168" s="23"/>
      <c r="E168" s="10"/>
      <c r="F168" s="27"/>
      <c r="G168" s="29"/>
    </row>
    <row r="169" spans="2:7" x14ac:dyDescent="0.2">
      <c r="B169" s="20"/>
      <c r="C169" s="23"/>
      <c r="E169" s="10"/>
      <c r="F169" s="27"/>
      <c r="G169" s="29"/>
    </row>
    <row r="170" spans="2:7" x14ac:dyDescent="0.2">
      <c r="B170" s="20"/>
      <c r="C170" s="23"/>
      <c r="E170" s="10"/>
      <c r="F170" s="27"/>
      <c r="G170" s="29"/>
    </row>
    <row r="171" spans="2:7" x14ac:dyDescent="0.2">
      <c r="B171" s="20"/>
      <c r="C171" s="23"/>
      <c r="E171" s="10"/>
      <c r="F171" s="27"/>
      <c r="G171" s="29"/>
    </row>
    <row r="172" spans="2:7" x14ac:dyDescent="0.2">
      <c r="B172" s="20"/>
      <c r="C172" s="23"/>
      <c r="E172" s="10"/>
      <c r="F172" s="27"/>
      <c r="G172" s="29"/>
    </row>
    <row r="173" spans="2:7" x14ac:dyDescent="0.2">
      <c r="B173" s="20"/>
      <c r="C173" s="23"/>
      <c r="E173" s="10"/>
      <c r="F173" s="27"/>
      <c r="G173" s="29"/>
    </row>
    <row r="174" spans="2:7" x14ac:dyDescent="0.2">
      <c r="B174" s="20"/>
      <c r="C174" s="23"/>
      <c r="E174" s="10"/>
      <c r="F174" s="27"/>
      <c r="G174" s="29"/>
    </row>
    <row r="175" spans="2:7" x14ac:dyDescent="0.2">
      <c r="B175" s="20"/>
      <c r="C175" s="23"/>
      <c r="E175" s="10"/>
      <c r="F175" s="27"/>
      <c r="G175" s="29"/>
    </row>
    <row r="176" spans="2:7" x14ac:dyDescent="0.2">
      <c r="B176" s="20"/>
      <c r="C176" s="23"/>
      <c r="D176" s="15"/>
      <c r="E176" s="10"/>
      <c r="F176" s="27"/>
      <c r="G176" s="29"/>
    </row>
    <row r="177" spans="2:7" x14ac:dyDescent="0.2">
      <c r="B177" s="20"/>
      <c r="C177" s="23"/>
      <c r="E177" s="10"/>
      <c r="F177" s="27"/>
      <c r="G177" s="29"/>
    </row>
    <row r="178" spans="2:7" x14ac:dyDescent="0.2">
      <c r="B178" s="20"/>
      <c r="C178" s="23"/>
      <c r="E178" s="10"/>
      <c r="F178" s="27"/>
      <c r="G178" s="29"/>
    </row>
    <row r="179" spans="2:7" x14ac:dyDescent="0.2">
      <c r="B179" s="20"/>
      <c r="C179" s="23"/>
      <c r="E179" s="10"/>
      <c r="F179" s="27"/>
      <c r="G179" s="29"/>
    </row>
    <row r="180" spans="2:7" x14ac:dyDescent="0.2">
      <c r="B180" s="20"/>
      <c r="C180" s="23"/>
      <c r="E180" s="10"/>
      <c r="F180" s="27"/>
      <c r="G180" s="29"/>
    </row>
    <row r="181" spans="2:7" x14ac:dyDescent="0.2">
      <c r="B181" s="20"/>
      <c r="C181" s="23"/>
      <c r="E181" s="10"/>
      <c r="F181" s="27"/>
      <c r="G181" s="29"/>
    </row>
    <row r="182" spans="2:7" x14ac:dyDescent="0.2">
      <c r="B182" s="20"/>
      <c r="C182" s="23"/>
      <c r="D182" s="15"/>
      <c r="E182" s="16"/>
      <c r="F182" s="27"/>
      <c r="G182" s="29"/>
    </row>
    <row r="183" spans="2:7" x14ac:dyDescent="0.2">
      <c r="B183" s="20"/>
      <c r="C183" s="23"/>
      <c r="E183" s="10"/>
      <c r="F183" s="27"/>
      <c r="G183" s="29"/>
    </row>
    <row r="184" spans="2:7" x14ac:dyDescent="0.2">
      <c r="B184" s="20"/>
      <c r="C184" s="23"/>
      <c r="E184" s="10"/>
      <c r="F184" s="27"/>
      <c r="G184" s="29"/>
    </row>
    <row r="185" spans="2:7" x14ac:dyDescent="0.2">
      <c r="B185" s="20"/>
      <c r="C185" s="23"/>
      <c r="E185" s="10"/>
      <c r="F185" s="27"/>
      <c r="G185" s="29"/>
    </row>
    <row r="186" spans="2:7" x14ac:dyDescent="0.2">
      <c r="B186" s="20"/>
      <c r="C186" s="23"/>
      <c r="E186" s="10"/>
      <c r="F186" s="27"/>
      <c r="G186" s="29"/>
    </row>
    <row r="187" spans="2:7" x14ac:dyDescent="0.2">
      <c r="B187" s="20"/>
      <c r="C187" s="23"/>
      <c r="E187" s="10"/>
      <c r="F187" s="27"/>
      <c r="G187" s="29"/>
    </row>
    <row r="188" spans="2:7" x14ac:dyDescent="0.2">
      <c r="B188" s="20"/>
      <c r="C188" s="23"/>
      <c r="E188" s="10"/>
      <c r="F188" s="27"/>
      <c r="G188" s="29"/>
    </row>
    <row r="189" spans="2:7" x14ac:dyDescent="0.2">
      <c r="B189" s="20"/>
      <c r="C189" s="23"/>
      <c r="E189" s="10"/>
      <c r="F189" s="27"/>
      <c r="G189" s="29"/>
    </row>
    <row r="190" spans="2:7" x14ac:dyDescent="0.2">
      <c r="B190" s="20"/>
      <c r="C190" s="23"/>
      <c r="D190" s="15"/>
      <c r="E190" s="10"/>
      <c r="F190" s="27"/>
      <c r="G190" s="29"/>
    </row>
    <row r="191" spans="2:7" x14ac:dyDescent="0.2">
      <c r="B191" s="20"/>
      <c r="C191" s="23"/>
      <c r="E191" s="10"/>
      <c r="F191" s="27"/>
      <c r="G191" s="29"/>
    </row>
    <row r="192" spans="2:7" x14ac:dyDescent="0.2">
      <c r="B192" s="20"/>
      <c r="C192" s="23"/>
      <c r="E192" s="10"/>
      <c r="F192" s="27"/>
      <c r="G192" s="29"/>
    </row>
    <row r="193" spans="2:7" x14ac:dyDescent="0.2">
      <c r="B193" s="20"/>
      <c r="C193" s="23"/>
      <c r="E193" s="10"/>
      <c r="F193" s="27"/>
      <c r="G193" s="29"/>
    </row>
    <row r="194" spans="2:7" x14ac:dyDescent="0.2">
      <c r="B194" s="20"/>
      <c r="C194" s="23"/>
      <c r="E194" s="10"/>
      <c r="F194" s="27"/>
      <c r="G194" s="29"/>
    </row>
    <row r="195" spans="2:7" x14ac:dyDescent="0.2">
      <c r="B195" s="20"/>
      <c r="C195" s="23"/>
      <c r="E195" s="10"/>
      <c r="F195" s="27"/>
      <c r="G195" s="29"/>
    </row>
    <row r="196" spans="2:7" x14ac:dyDescent="0.2">
      <c r="B196" s="20"/>
      <c r="C196" s="23"/>
      <c r="E196" s="10"/>
      <c r="F196" s="27"/>
      <c r="G196" s="29"/>
    </row>
    <row r="197" spans="2:7" x14ac:dyDescent="0.2">
      <c r="B197" s="20"/>
      <c r="C197" s="23"/>
      <c r="E197" s="10"/>
      <c r="F197" s="27"/>
      <c r="G197" s="29"/>
    </row>
    <row r="198" spans="2:7" x14ac:dyDescent="0.2">
      <c r="B198" s="20"/>
      <c r="C198" s="23"/>
      <c r="E198" s="10"/>
      <c r="F198" s="27"/>
      <c r="G198" s="29"/>
    </row>
    <row r="199" spans="2:7" x14ac:dyDescent="0.2">
      <c r="B199" s="20"/>
      <c r="C199" s="23"/>
      <c r="E199" s="10"/>
      <c r="F199" s="27"/>
      <c r="G199" s="29"/>
    </row>
    <row r="200" spans="2:7" x14ac:dyDescent="0.2">
      <c r="B200" s="20"/>
      <c r="C200" s="23"/>
      <c r="E200" s="10"/>
      <c r="F200" s="27"/>
      <c r="G200" s="29"/>
    </row>
    <row r="201" spans="2:7" x14ac:dyDescent="0.2">
      <c r="B201" s="20"/>
      <c r="C201" s="23"/>
      <c r="E201" s="10"/>
      <c r="F201" s="27"/>
      <c r="G201" s="29"/>
    </row>
    <row r="202" spans="2:7" x14ac:dyDescent="0.2">
      <c r="B202" s="20"/>
      <c r="C202" s="23"/>
      <c r="E202" s="10"/>
      <c r="F202" s="27"/>
      <c r="G202" s="29"/>
    </row>
    <row r="203" spans="2:7" x14ac:dyDescent="0.2">
      <c r="B203" s="20"/>
      <c r="C203" s="23"/>
      <c r="E203" s="10"/>
      <c r="F203" s="27"/>
      <c r="G203" s="29"/>
    </row>
    <row r="204" spans="2:7" x14ac:dyDescent="0.2">
      <c r="B204" s="20"/>
      <c r="C204" s="23"/>
      <c r="E204" s="10"/>
      <c r="F204" s="27"/>
      <c r="G204" s="29"/>
    </row>
    <row r="205" spans="2:7" x14ac:dyDescent="0.2">
      <c r="B205" s="20"/>
      <c r="C205" s="23"/>
      <c r="E205" s="10"/>
      <c r="F205" s="27"/>
      <c r="G205" s="29"/>
    </row>
    <row r="206" spans="2:7" x14ac:dyDescent="0.2">
      <c r="B206" s="20"/>
      <c r="C206" s="23"/>
      <c r="E206" s="10"/>
      <c r="F206" s="27"/>
      <c r="G206" s="29"/>
    </row>
    <row r="207" spans="2:7" x14ac:dyDescent="0.2">
      <c r="B207" s="20"/>
      <c r="C207" s="23"/>
      <c r="E207" s="10"/>
      <c r="F207" s="27"/>
      <c r="G207" s="29"/>
    </row>
    <row r="208" spans="2:7" x14ac:dyDescent="0.2">
      <c r="B208" s="20"/>
      <c r="C208" s="23"/>
      <c r="E208" s="10"/>
      <c r="F208" s="27"/>
      <c r="G208" s="29"/>
    </row>
    <row r="209" spans="2:7" x14ac:dyDescent="0.2">
      <c r="B209" s="20"/>
      <c r="C209" s="23"/>
      <c r="E209" s="10"/>
      <c r="F209" s="27"/>
      <c r="G209" s="29"/>
    </row>
    <row r="210" spans="2:7" x14ac:dyDescent="0.2">
      <c r="B210" s="20"/>
      <c r="C210" s="23"/>
      <c r="E210" s="10"/>
      <c r="F210" s="27"/>
      <c r="G210" s="29"/>
    </row>
    <row r="211" spans="2:7" x14ac:dyDescent="0.2">
      <c r="B211" s="20"/>
      <c r="C211" s="23"/>
      <c r="E211" s="10"/>
      <c r="F211" s="27"/>
      <c r="G211" s="29"/>
    </row>
    <row r="212" spans="2:7" x14ac:dyDescent="0.2">
      <c r="B212" s="20"/>
      <c r="C212" s="23"/>
      <c r="E212" s="10"/>
      <c r="F212" s="27"/>
      <c r="G212" s="29"/>
    </row>
    <row r="213" spans="2:7" x14ac:dyDescent="0.2">
      <c r="B213" s="20"/>
      <c r="C213" s="23"/>
      <c r="E213" s="10"/>
      <c r="F213" s="27"/>
      <c r="G213" s="29"/>
    </row>
    <row r="214" spans="2:7" x14ac:dyDescent="0.2">
      <c r="B214" s="20"/>
      <c r="C214" s="23"/>
      <c r="E214" s="10"/>
      <c r="F214" s="27"/>
      <c r="G214" s="29"/>
    </row>
    <row r="215" spans="2:7" x14ac:dyDescent="0.2">
      <c r="B215" s="20"/>
      <c r="C215" s="23"/>
      <c r="E215" s="10"/>
      <c r="F215" s="27"/>
      <c r="G215" s="29"/>
    </row>
    <row r="216" spans="2:7" x14ac:dyDescent="0.2">
      <c r="B216" s="20"/>
      <c r="C216" s="23"/>
      <c r="E216" s="10"/>
      <c r="F216" s="27"/>
      <c r="G216" s="29"/>
    </row>
    <row r="217" spans="2:7" x14ac:dyDescent="0.2">
      <c r="B217" s="20"/>
      <c r="C217" s="23"/>
      <c r="E217" s="10"/>
      <c r="F217" s="27"/>
      <c r="G217" s="29"/>
    </row>
    <row r="218" spans="2:7" x14ac:dyDescent="0.2">
      <c r="B218" s="20"/>
      <c r="C218" s="23"/>
      <c r="E218" s="10"/>
      <c r="F218" s="27"/>
      <c r="G218" s="29"/>
    </row>
    <row r="219" spans="2:7" x14ac:dyDescent="0.2">
      <c r="B219" s="20"/>
      <c r="C219" s="23"/>
      <c r="E219" s="10"/>
      <c r="F219" s="27"/>
      <c r="G219" s="29"/>
    </row>
    <row r="220" spans="2:7" x14ac:dyDescent="0.2">
      <c r="B220" s="20"/>
      <c r="C220" s="23"/>
      <c r="D220" s="17"/>
      <c r="E220" s="10"/>
      <c r="F220" s="27"/>
      <c r="G220" s="29"/>
    </row>
    <row r="221" spans="2:7" x14ac:dyDescent="0.2">
      <c r="B221" s="20"/>
      <c r="C221" s="23"/>
      <c r="E221" s="10"/>
      <c r="F221" s="27"/>
      <c r="G221" s="29"/>
    </row>
    <row r="222" spans="2:7" x14ac:dyDescent="0.2">
      <c r="B222" s="20"/>
      <c r="C222" s="23"/>
      <c r="E222" s="10"/>
      <c r="F222" s="27"/>
      <c r="G222" s="29"/>
    </row>
    <row r="223" spans="2:7" x14ac:dyDescent="0.2">
      <c r="B223" s="20"/>
      <c r="C223" s="23"/>
      <c r="E223" s="10"/>
      <c r="F223" s="27"/>
      <c r="G223" s="29"/>
    </row>
    <row r="224" spans="2:7" x14ac:dyDescent="0.2">
      <c r="B224" s="20"/>
      <c r="C224" s="23"/>
      <c r="E224" s="10"/>
      <c r="F224" s="27"/>
      <c r="G224" s="29"/>
    </row>
    <row r="225" spans="2:7" x14ac:dyDescent="0.2">
      <c r="B225" s="20"/>
      <c r="C225" s="23"/>
      <c r="D225" s="14"/>
      <c r="E225" s="10"/>
      <c r="F225" s="27"/>
      <c r="G225" s="29"/>
    </row>
    <row r="226" spans="2:7" x14ac:dyDescent="0.2">
      <c r="B226" s="20"/>
      <c r="C226" s="23"/>
      <c r="E226" s="10"/>
      <c r="F226" s="27"/>
      <c r="G226" s="29"/>
    </row>
    <row r="227" spans="2:7" x14ac:dyDescent="0.2">
      <c r="B227" s="20"/>
      <c r="C227" s="23"/>
      <c r="E227" s="10"/>
      <c r="F227" s="27"/>
      <c r="G227" s="29"/>
    </row>
    <row r="228" spans="2:7" x14ac:dyDescent="0.2">
      <c r="B228" s="20"/>
      <c r="C228" s="23"/>
      <c r="E228" s="10"/>
      <c r="F228" s="27"/>
      <c r="G228" s="29"/>
    </row>
    <row r="229" spans="2:7" x14ac:dyDescent="0.2">
      <c r="B229" s="20"/>
      <c r="C229" s="23"/>
      <c r="E229" s="10"/>
      <c r="F229" s="27"/>
      <c r="G229" s="29"/>
    </row>
    <row r="230" spans="2:7" x14ac:dyDescent="0.2">
      <c r="B230" s="20"/>
      <c r="C230" s="23"/>
      <c r="E230" s="10"/>
      <c r="F230" s="27"/>
      <c r="G230" s="29"/>
    </row>
    <row r="231" spans="2:7" x14ac:dyDescent="0.2">
      <c r="B231" s="20"/>
      <c r="C231" s="23"/>
      <c r="E231" s="10"/>
      <c r="F231" s="27"/>
      <c r="G231" s="29"/>
    </row>
    <row r="232" spans="2:7" x14ac:dyDescent="0.2">
      <c r="B232" s="20"/>
      <c r="C232" s="23"/>
      <c r="E232" s="10"/>
      <c r="F232" s="27"/>
      <c r="G232" s="29"/>
    </row>
    <row r="233" spans="2:7" x14ac:dyDescent="0.2">
      <c r="B233" s="20"/>
      <c r="C233" s="23"/>
      <c r="E233" s="10"/>
      <c r="F233" s="27"/>
      <c r="G233" s="29"/>
    </row>
    <row r="234" spans="2:7" x14ac:dyDescent="0.2">
      <c r="B234" s="20"/>
      <c r="C234" s="23"/>
      <c r="E234" s="10"/>
      <c r="F234" s="27"/>
      <c r="G234" s="29"/>
    </row>
    <row r="235" spans="2:7" x14ac:dyDescent="0.2">
      <c r="B235" s="20"/>
      <c r="C235" s="23"/>
      <c r="E235" s="10"/>
      <c r="F235" s="27"/>
      <c r="G235" s="29"/>
    </row>
    <row r="236" spans="2:7" x14ac:dyDescent="0.2">
      <c r="B236" s="20"/>
      <c r="C236" s="23"/>
      <c r="E236" s="10"/>
      <c r="F236" s="27"/>
      <c r="G236" s="29"/>
    </row>
    <row r="237" spans="2:7" x14ac:dyDescent="0.2">
      <c r="B237" s="20"/>
      <c r="C237" s="23"/>
      <c r="E237" s="10"/>
      <c r="F237" s="27"/>
      <c r="G237" s="29"/>
    </row>
    <row r="238" spans="2:7" x14ac:dyDescent="0.2">
      <c r="B238" s="20"/>
      <c r="C238" s="23"/>
      <c r="E238" s="10"/>
      <c r="F238" s="27"/>
      <c r="G238" s="29"/>
    </row>
    <row r="239" spans="2:7" x14ac:dyDescent="0.2">
      <c r="B239" s="20"/>
      <c r="C239" s="23"/>
      <c r="E239" s="10"/>
      <c r="F239" s="27"/>
      <c r="G239" s="29"/>
    </row>
    <row r="240" spans="2:7" x14ac:dyDescent="0.2">
      <c r="B240" s="20"/>
      <c r="C240" s="23"/>
      <c r="E240" s="10"/>
      <c r="F240" s="27"/>
      <c r="G240" s="29"/>
    </row>
    <row r="241" spans="2:7" x14ac:dyDescent="0.2">
      <c r="B241" s="20"/>
      <c r="C241" s="23"/>
      <c r="E241" s="10"/>
      <c r="F241" s="27"/>
      <c r="G241" s="29"/>
    </row>
    <row r="242" spans="2:7" x14ac:dyDescent="0.2">
      <c r="B242" s="20"/>
      <c r="C242" s="23"/>
      <c r="E242" s="10"/>
      <c r="F242" s="27"/>
      <c r="G242" s="29"/>
    </row>
    <row r="243" spans="2:7" x14ac:dyDescent="0.2">
      <c r="B243" s="20"/>
      <c r="C243" s="23"/>
      <c r="E243" s="10"/>
      <c r="F243" s="27"/>
      <c r="G243" s="29"/>
    </row>
    <row r="244" spans="2:7" x14ac:dyDescent="0.2">
      <c r="B244" s="20"/>
      <c r="C244" s="23"/>
      <c r="E244" s="10"/>
      <c r="F244" s="27"/>
      <c r="G244" s="29"/>
    </row>
    <row r="245" spans="2:7" x14ac:dyDescent="0.2">
      <c r="B245" s="20"/>
      <c r="C245" s="23"/>
      <c r="E245" s="10"/>
      <c r="F245" s="27"/>
      <c r="G245" s="29"/>
    </row>
    <row r="246" spans="2:7" x14ac:dyDescent="0.2">
      <c r="B246" s="20"/>
      <c r="C246" s="23"/>
      <c r="E246" s="10"/>
      <c r="F246" s="27"/>
      <c r="G246" s="29"/>
    </row>
    <row r="247" spans="2:7" x14ac:dyDescent="0.2">
      <c r="B247" s="20"/>
      <c r="C247" s="23"/>
      <c r="E247" s="10"/>
      <c r="F247" s="27"/>
      <c r="G247" s="29"/>
    </row>
    <row r="248" spans="2:7" x14ac:dyDescent="0.2">
      <c r="B248" s="20"/>
      <c r="C248" s="23"/>
      <c r="E248" s="10"/>
      <c r="F248" s="27"/>
      <c r="G248" s="29"/>
    </row>
    <row r="249" spans="2:7" x14ac:dyDescent="0.2">
      <c r="B249" s="20"/>
      <c r="C249" s="23"/>
      <c r="E249" s="10"/>
      <c r="F249" s="27"/>
      <c r="G249" s="29"/>
    </row>
    <row r="250" spans="2:7" x14ac:dyDescent="0.2">
      <c r="B250" s="20"/>
      <c r="C250" s="23"/>
      <c r="E250" s="10"/>
      <c r="F250" s="27"/>
      <c r="G250" s="29"/>
    </row>
    <row r="251" spans="2:7" x14ac:dyDescent="0.2">
      <c r="B251" s="20"/>
      <c r="C251" s="23"/>
      <c r="E251" s="10"/>
      <c r="F251" s="27"/>
      <c r="G251" s="29"/>
    </row>
    <row r="252" spans="2:7" x14ac:dyDescent="0.2">
      <c r="B252" s="20"/>
      <c r="C252" s="23"/>
      <c r="E252" s="10"/>
      <c r="F252" s="27"/>
      <c r="G252" s="29"/>
    </row>
    <row r="253" spans="2:7" x14ac:dyDescent="0.2">
      <c r="B253" s="20"/>
      <c r="C253" s="23"/>
      <c r="E253" s="10"/>
      <c r="F253" s="27"/>
      <c r="G253" s="29"/>
    </row>
    <row r="254" spans="2:7" x14ac:dyDescent="0.2">
      <c r="B254" s="20"/>
      <c r="C254" s="23"/>
      <c r="E254" s="10"/>
      <c r="F254" s="27"/>
      <c r="G254" s="29"/>
    </row>
    <row r="255" spans="2:7" x14ac:dyDescent="0.2">
      <c r="B255" s="20"/>
      <c r="C255" s="23"/>
      <c r="E255" s="10"/>
      <c r="F255" s="27"/>
      <c r="G255" s="29"/>
    </row>
    <row r="256" spans="2:7" x14ac:dyDescent="0.2">
      <c r="B256" s="20"/>
      <c r="C256" s="23"/>
      <c r="E256" s="10"/>
      <c r="F256" s="27"/>
      <c r="G256" s="29"/>
    </row>
    <row r="257" spans="2:7" x14ac:dyDescent="0.2">
      <c r="B257" s="20"/>
      <c r="C257" s="23"/>
      <c r="E257" s="10"/>
      <c r="F257" s="27"/>
      <c r="G257" s="29"/>
    </row>
    <row r="258" spans="2:7" x14ac:dyDescent="0.2">
      <c r="B258" s="20"/>
      <c r="C258" s="23"/>
      <c r="E258" s="10"/>
      <c r="F258" s="27"/>
      <c r="G258" s="29"/>
    </row>
    <row r="259" spans="2:7" x14ac:dyDescent="0.2">
      <c r="B259" s="20"/>
      <c r="C259" s="23"/>
      <c r="E259" s="10"/>
      <c r="F259" s="27"/>
      <c r="G259" s="29"/>
    </row>
    <row r="260" spans="2:7" x14ac:dyDescent="0.2">
      <c r="B260" s="20"/>
      <c r="C260" s="23"/>
      <c r="E260" s="10"/>
      <c r="F260" s="27"/>
      <c r="G260" s="29"/>
    </row>
    <row r="261" spans="2:7" x14ac:dyDescent="0.2">
      <c r="B261" s="20"/>
      <c r="C261" s="23"/>
      <c r="E261" s="10"/>
      <c r="F261" s="27"/>
      <c r="G261" s="29"/>
    </row>
    <row r="262" spans="2:7" x14ac:dyDescent="0.2">
      <c r="B262" s="20"/>
      <c r="C262" s="23"/>
      <c r="E262" s="10"/>
      <c r="F262" s="27"/>
      <c r="G262" s="29"/>
    </row>
    <row r="263" spans="2:7" x14ac:dyDescent="0.2">
      <c r="B263" s="20"/>
      <c r="C263" s="23"/>
      <c r="E263" s="10"/>
      <c r="F263" s="27"/>
      <c r="G263" s="29"/>
    </row>
    <row r="264" spans="2:7" x14ac:dyDescent="0.2">
      <c r="B264" s="20"/>
      <c r="C264" s="23"/>
      <c r="E264" s="10"/>
      <c r="F264" s="27"/>
      <c r="G264" s="29"/>
    </row>
    <row r="265" spans="2:7" x14ac:dyDescent="0.2">
      <c r="B265" s="20"/>
      <c r="C265" s="23"/>
      <c r="E265" s="10"/>
      <c r="F265" s="27"/>
      <c r="G265" s="29"/>
    </row>
    <row r="266" spans="2:7" x14ac:dyDescent="0.2">
      <c r="B266" s="20"/>
      <c r="C266" s="23"/>
      <c r="E266" s="10"/>
      <c r="F266" s="27"/>
      <c r="G266" s="29"/>
    </row>
    <row r="267" spans="2:7" x14ac:dyDescent="0.2">
      <c r="B267" s="20"/>
      <c r="C267" s="23"/>
      <c r="E267" s="10"/>
      <c r="F267" s="27"/>
      <c r="G267" s="29"/>
    </row>
    <row r="268" spans="2:7" x14ac:dyDescent="0.2">
      <c r="B268" s="20"/>
      <c r="C268" s="23"/>
      <c r="E268" s="10"/>
      <c r="F268" s="27"/>
      <c r="G268" s="29"/>
    </row>
    <row r="269" spans="2:7" x14ac:dyDescent="0.2">
      <c r="B269" s="20"/>
      <c r="C269" s="23"/>
      <c r="E269" s="10"/>
      <c r="F269" s="27"/>
      <c r="G269" s="29"/>
    </row>
    <row r="270" spans="2:7" x14ac:dyDescent="0.2">
      <c r="B270" s="20"/>
      <c r="C270" s="23"/>
      <c r="E270" s="10"/>
      <c r="F270" s="27"/>
      <c r="G270" s="29"/>
    </row>
    <row r="271" spans="2:7" x14ac:dyDescent="0.2">
      <c r="B271" s="20"/>
      <c r="C271" s="23"/>
      <c r="E271" s="10"/>
      <c r="F271" s="27"/>
      <c r="G271" s="29"/>
    </row>
    <row r="272" spans="2:7" x14ac:dyDescent="0.2">
      <c r="B272" s="20"/>
      <c r="C272" s="23"/>
      <c r="E272" s="10"/>
      <c r="F272" s="27"/>
      <c r="G272" s="29"/>
    </row>
    <row r="273" spans="2:7" x14ac:dyDescent="0.2">
      <c r="B273" s="20"/>
      <c r="C273" s="23"/>
      <c r="E273" s="10"/>
      <c r="F273" s="27"/>
      <c r="G273" s="29"/>
    </row>
    <row r="274" spans="2:7" x14ac:dyDescent="0.2">
      <c r="B274" s="20"/>
      <c r="C274" s="23"/>
      <c r="E274" s="10"/>
      <c r="F274" s="27"/>
      <c r="G274" s="29"/>
    </row>
    <row r="275" spans="2:7" x14ac:dyDescent="0.2">
      <c r="B275" s="20"/>
      <c r="C275" s="23"/>
      <c r="E275" s="10"/>
      <c r="F275" s="27"/>
      <c r="G275" s="29"/>
    </row>
    <row r="276" spans="2:7" x14ac:dyDescent="0.2">
      <c r="B276" s="20"/>
      <c r="C276" s="23"/>
      <c r="D276" s="15"/>
      <c r="E276" s="10"/>
      <c r="F276" s="27"/>
      <c r="G276" s="29"/>
    </row>
    <row r="277" spans="2:7" x14ac:dyDescent="0.2">
      <c r="B277" s="20"/>
      <c r="C277" s="23"/>
      <c r="D277" s="15"/>
      <c r="E277" s="10"/>
      <c r="F277" s="27"/>
      <c r="G277" s="29"/>
    </row>
    <row r="278" spans="2:7" x14ac:dyDescent="0.2">
      <c r="B278" s="20"/>
      <c r="C278" s="23"/>
      <c r="E278" s="10"/>
      <c r="F278" s="27"/>
      <c r="G278" s="29"/>
    </row>
    <row r="279" spans="2:7" x14ac:dyDescent="0.2">
      <c r="B279" s="20"/>
      <c r="C279" s="23"/>
      <c r="E279" s="10"/>
      <c r="F279" s="27"/>
      <c r="G279" s="29"/>
    </row>
    <row r="280" spans="2:7" x14ac:dyDescent="0.2">
      <c r="B280" s="20"/>
      <c r="C280" s="23"/>
      <c r="E280" s="10"/>
      <c r="F280" s="27"/>
      <c r="G280" s="29"/>
    </row>
    <row r="281" spans="2:7" x14ac:dyDescent="0.2">
      <c r="B281" s="20"/>
      <c r="C281" s="23"/>
      <c r="E281" s="10"/>
      <c r="F281" s="27"/>
      <c r="G281" s="29"/>
    </row>
    <row r="282" spans="2:7" x14ac:dyDescent="0.2">
      <c r="B282" s="20"/>
      <c r="C282" s="23"/>
      <c r="E282" s="10"/>
      <c r="F282" s="27"/>
      <c r="G282" s="29"/>
    </row>
    <row r="283" spans="2:7" x14ac:dyDescent="0.2">
      <c r="B283" s="20"/>
      <c r="C283" s="23"/>
      <c r="E283" s="10"/>
      <c r="F283" s="27"/>
      <c r="G283" s="29"/>
    </row>
    <row r="284" spans="2:7" x14ac:dyDescent="0.2">
      <c r="B284" s="20"/>
      <c r="C284" s="23"/>
      <c r="E284" s="10"/>
      <c r="F284" s="27"/>
      <c r="G284" s="29"/>
    </row>
    <row r="285" spans="2:7" x14ac:dyDescent="0.2">
      <c r="B285" s="20"/>
      <c r="C285" s="23"/>
      <c r="D285" s="14"/>
      <c r="E285" s="10"/>
      <c r="F285" s="27"/>
      <c r="G285" s="29"/>
    </row>
    <row r="286" spans="2:7" x14ac:dyDescent="0.2">
      <c r="B286" s="20"/>
      <c r="C286" s="23"/>
      <c r="E286" s="10"/>
      <c r="F286" s="27"/>
      <c r="G286" s="29"/>
    </row>
    <row r="287" spans="2:7" x14ac:dyDescent="0.2">
      <c r="B287" s="20"/>
      <c r="C287" s="23"/>
      <c r="E287" s="10"/>
      <c r="F287" s="27"/>
      <c r="G287" s="29"/>
    </row>
    <row r="288" spans="2:7" x14ac:dyDescent="0.2">
      <c r="B288" s="20"/>
      <c r="C288" s="23"/>
      <c r="E288" s="10"/>
      <c r="F288" s="27"/>
      <c r="G288" s="29"/>
    </row>
    <row r="289" spans="2:7" x14ac:dyDescent="0.2">
      <c r="B289" s="20"/>
      <c r="C289" s="23"/>
      <c r="E289" s="10"/>
      <c r="F289" s="27"/>
      <c r="G289" s="29"/>
    </row>
    <row r="290" spans="2:7" x14ac:dyDescent="0.2">
      <c r="B290" s="20"/>
      <c r="C290" s="23"/>
      <c r="E290" s="10"/>
      <c r="F290" s="27"/>
      <c r="G290" s="29"/>
    </row>
    <row r="291" spans="2:7" x14ac:dyDescent="0.2">
      <c r="B291" s="20"/>
      <c r="C291" s="23"/>
      <c r="E291" s="10"/>
      <c r="F291" s="27"/>
      <c r="G291" s="29"/>
    </row>
    <row r="292" spans="2:7" x14ac:dyDescent="0.2">
      <c r="B292" s="20"/>
      <c r="C292" s="23"/>
      <c r="D292" s="14"/>
      <c r="E292" s="10"/>
      <c r="F292" s="27"/>
      <c r="G292" s="29"/>
    </row>
    <row r="293" spans="2:7" x14ac:dyDescent="0.2">
      <c r="B293" s="20"/>
      <c r="C293" s="23"/>
      <c r="E293" s="10"/>
      <c r="F293" s="27"/>
      <c r="G293" s="29"/>
    </row>
    <row r="294" spans="2:7" x14ac:dyDescent="0.2">
      <c r="B294" s="20"/>
      <c r="C294" s="23"/>
      <c r="E294" s="10"/>
      <c r="F294" s="27"/>
      <c r="G294" s="29"/>
    </row>
    <row r="295" spans="2:7" x14ac:dyDescent="0.2">
      <c r="B295" s="20"/>
      <c r="C295" s="23"/>
      <c r="E295" s="10"/>
      <c r="F295" s="27"/>
      <c r="G295" s="29"/>
    </row>
    <row r="296" spans="2:7" x14ac:dyDescent="0.2">
      <c r="B296" s="20"/>
      <c r="C296" s="23"/>
      <c r="E296" s="10"/>
      <c r="F296" s="27"/>
      <c r="G296" s="29"/>
    </row>
    <row r="297" spans="2:7" x14ac:dyDescent="0.2">
      <c r="B297" s="20"/>
      <c r="C297" s="23"/>
      <c r="E297" s="10"/>
      <c r="F297" s="27"/>
      <c r="G297" s="29"/>
    </row>
    <row r="298" spans="2:7" x14ac:dyDescent="0.2">
      <c r="B298" s="20"/>
      <c r="C298" s="23"/>
      <c r="E298" s="10"/>
      <c r="F298" s="27"/>
      <c r="G298" s="29"/>
    </row>
    <row r="299" spans="2:7" x14ac:dyDescent="0.2">
      <c r="B299" s="20"/>
      <c r="C299" s="23"/>
      <c r="E299" s="10"/>
      <c r="F299" s="27"/>
      <c r="G299" s="29"/>
    </row>
    <row r="300" spans="2:7" x14ac:dyDescent="0.2">
      <c r="B300" s="20"/>
      <c r="C300" s="23"/>
      <c r="E300" s="10"/>
      <c r="F300" s="27"/>
      <c r="G300" s="29"/>
    </row>
    <row r="301" spans="2:7" x14ac:dyDescent="0.2">
      <c r="B301" s="20"/>
      <c r="C301" s="23"/>
      <c r="E301" s="10"/>
      <c r="F301" s="27"/>
      <c r="G301" s="29"/>
    </row>
    <row r="302" spans="2:7" x14ac:dyDescent="0.2">
      <c r="B302" s="20"/>
      <c r="C302" s="23"/>
      <c r="E302" s="10"/>
      <c r="F302" s="27"/>
      <c r="G302" s="29"/>
    </row>
    <row r="303" spans="2:7" x14ac:dyDescent="0.2">
      <c r="B303" s="20"/>
      <c r="C303" s="23"/>
      <c r="E303" s="10"/>
      <c r="F303" s="27"/>
      <c r="G303" s="29"/>
    </row>
    <row r="304" spans="2:7" x14ac:dyDescent="0.2">
      <c r="B304" s="20"/>
      <c r="C304" s="23"/>
      <c r="E304" s="10"/>
      <c r="F304" s="27"/>
      <c r="G304" s="29"/>
    </row>
    <row r="305" spans="2:7" x14ac:dyDescent="0.2">
      <c r="B305" s="20"/>
      <c r="C305" s="23"/>
      <c r="E305" s="10"/>
      <c r="F305" s="27"/>
      <c r="G305" s="29"/>
    </row>
    <row r="306" spans="2:7" x14ac:dyDescent="0.2">
      <c r="B306" s="20"/>
      <c r="C306" s="23"/>
      <c r="E306" s="10"/>
      <c r="F306" s="27"/>
      <c r="G306" s="29"/>
    </row>
    <row r="307" spans="2:7" x14ac:dyDescent="0.2">
      <c r="B307" s="20"/>
      <c r="C307" s="23"/>
      <c r="E307" s="10"/>
      <c r="F307" s="27"/>
      <c r="G307" s="29"/>
    </row>
    <row r="308" spans="2:7" x14ac:dyDescent="0.2">
      <c r="B308" s="20"/>
      <c r="C308" s="23"/>
      <c r="E308" s="10"/>
      <c r="F308" s="27"/>
      <c r="G308" s="29"/>
    </row>
    <row r="309" spans="2:7" x14ac:dyDescent="0.2">
      <c r="B309" s="20"/>
      <c r="C309" s="23"/>
      <c r="E309" s="10"/>
      <c r="F309" s="27"/>
      <c r="G309" s="29"/>
    </row>
    <row r="310" spans="2:7" x14ac:dyDescent="0.2">
      <c r="B310" s="20"/>
      <c r="C310" s="23"/>
      <c r="E310" s="10"/>
      <c r="F310" s="27"/>
      <c r="G310" s="29"/>
    </row>
    <row r="311" spans="2:7" x14ac:dyDescent="0.2">
      <c r="B311" s="20"/>
      <c r="C311" s="23"/>
      <c r="E311" s="10"/>
      <c r="F311" s="27"/>
      <c r="G311" s="29"/>
    </row>
    <row r="312" spans="2:7" x14ac:dyDescent="0.2">
      <c r="B312" s="20"/>
      <c r="C312" s="23"/>
      <c r="E312" s="10"/>
      <c r="F312" s="27"/>
      <c r="G312" s="29"/>
    </row>
    <row r="313" spans="2:7" x14ac:dyDescent="0.2">
      <c r="B313" s="20"/>
      <c r="C313" s="23"/>
      <c r="E313" s="10"/>
      <c r="F313" s="27"/>
      <c r="G313" s="29"/>
    </row>
    <row r="314" spans="2:7" x14ac:dyDescent="0.2">
      <c r="B314" s="20"/>
      <c r="C314" s="23"/>
      <c r="E314" s="10"/>
      <c r="F314" s="27"/>
      <c r="G314" s="29"/>
    </row>
    <row r="315" spans="2:7" x14ac:dyDescent="0.2">
      <c r="B315" s="20"/>
      <c r="C315" s="23"/>
      <c r="E315" s="10"/>
      <c r="F315" s="27"/>
      <c r="G315" s="29"/>
    </row>
    <row r="316" spans="2:7" x14ac:dyDescent="0.2">
      <c r="B316" s="20"/>
      <c r="C316" s="23"/>
      <c r="E316" s="10"/>
      <c r="F316" s="27"/>
      <c r="G316" s="29"/>
    </row>
    <row r="317" spans="2:7" x14ac:dyDescent="0.2">
      <c r="B317" s="20"/>
      <c r="C317" s="23"/>
      <c r="E317" s="10"/>
      <c r="F317" s="27"/>
      <c r="G317" s="29"/>
    </row>
    <row r="318" spans="2:7" x14ac:dyDescent="0.2">
      <c r="B318" s="20"/>
      <c r="C318" s="23"/>
      <c r="D318" s="14"/>
      <c r="E318" s="10"/>
      <c r="F318" s="27"/>
      <c r="G318" s="29"/>
    </row>
    <row r="319" spans="2:7" x14ac:dyDescent="0.2">
      <c r="B319" s="20"/>
      <c r="C319" s="23"/>
      <c r="E319" s="10"/>
      <c r="F319" s="27"/>
      <c r="G319" s="29"/>
    </row>
    <row r="320" spans="2:7" x14ac:dyDescent="0.2">
      <c r="B320" s="20"/>
      <c r="C320" s="23"/>
      <c r="E320" s="10"/>
      <c r="F320" s="27"/>
      <c r="G320" s="29"/>
    </row>
    <row r="321" spans="2:7" x14ac:dyDescent="0.2">
      <c r="B321" s="20"/>
      <c r="C321" s="23"/>
      <c r="E321" s="10"/>
      <c r="F321" s="27"/>
      <c r="G321" s="29"/>
    </row>
    <row r="322" spans="2:7" x14ac:dyDescent="0.2">
      <c r="B322" s="20"/>
      <c r="C322" s="23"/>
      <c r="E322" s="10"/>
      <c r="F322" s="27"/>
      <c r="G322" s="29"/>
    </row>
    <row r="323" spans="2:7" x14ac:dyDescent="0.2">
      <c r="B323" s="20"/>
      <c r="C323" s="23"/>
      <c r="E323" s="10"/>
      <c r="F323" s="27"/>
      <c r="G323" s="29"/>
    </row>
    <row r="324" spans="2:7" x14ac:dyDescent="0.2">
      <c r="B324" s="20"/>
      <c r="C324" s="23"/>
      <c r="E324" s="10"/>
      <c r="F324" s="27"/>
      <c r="G324" s="29"/>
    </row>
    <row r="325" spans="2:7" x14ac:dyDescent="0.2">
      <c r="B325" s="20"/>
      <c r="C325" s="23"/>
      <c r="E325" s="10"/>
      <c r="F325" s="27"/>
      <c r="G325" s="29"/>
    </row>
    <row r="326" spans="2:7" x14ac:dyDescent="0.2">
      <c r="B326" s="20"/>
      <c r="C326" s="23"/>
      <c r="E326" s="10"/>
      <c r="F326" s="27"/>
      <c r="G326" s="29"/>
    </row>
    <row r="327" spans="2:7" x14ac:dyDescent="0.2">
      <c r="B327" s="20"/>
      <c r="C327" s="23"/>
      <c r="E327" s="10"/>
      <c r="F327" s="27"/>
      <c r="G327" s="29"/>
    </row>
    <row r="328" spans="2:7" x14ac:dyDescent="0.2">
      <c r="B328" s="20"/>
      <c r="C328" s="23"/>
      <c r="E328" s="10"/>
      <c r="F328" s="27"/>
      <c r="G328" s="29"/>
    </row>
    <row r="329" spans="2:7" x14ac:dyDescent="0.2">
      <c r="B329" s="20"/>
      <c r="C329" s="23"/>
      <c r="E329" s="10"/>
      <c r="F329" s="27"/>
      <c r="G329" s="29"/>
    </row>
    <row r="330" spans="2:7" x14ac:dyDescent="0.2">
      <c r="B330" s="20"/>
      <c r="C330" s="23"/>
      <c r="E330" s="10"/>
      <c r="F330" s="27"/>
      <c r="G330" s="29"/>
    </row>
    <row r="331" spans="2:7" x14ac:dyDescent="0.2">
      <c r="B331" s="20"/>
      <c r="C331" s="23"/>
      <c r="E331" s="10"/>
      <c r="F331" s="27"/>
      <c r="G331" s="29"/>
    </row>
    <row r="332" spans="2:7" x14ac:dyDescent="0.2">
      <c r="B332" s="20"/>
      <c r="C332" s="23"/>
      <c r="E332" s="10"/>
      <c r="F332" s="27"/>
      <c r="G332" s="29"/>
    </row>
    <row r="333" spans="2:7" x14ac:dyDescent="0.2">
      <c r="B333" s="20"/>
      <c r="C333" s="23"/>
      <c r="E333" s="10"/>
      <c r="F333" s="27"/>
      <c r="G333" s="29"/>
    </row>
    <row r="334" spans="2:7" x14ac:dyDescent="0.2">
      <c r="B334" s="20"/>
      <c r="C334" s="23"/>
      <c r="E334" s="10"/>
      <c r="F334" s="27"/>
      <c r="G334" s="29"/>
    </row>
    <row r="335" spans="2:7" x14ac:dyDescent="0.2">
      <c r="B335" s="20"/>
      <c r="C335" s="23"/>
      <c r="E335" s="10"/>
      <c r="F335" s="27"/>
      <c r="G335" s="29"/>
    </row>
    <row r="336" spans="2:7" x14ac:dyDescent="0.2">
      <c r="B336" s="20"/>
      <c r="C336" s="23"/>
      <c r="E336" s="10"/>
      <c r="F336" s="27"/>
      <c r="G336" s="29"/>
    </row>
    <row r="337" spans="2:7" x14ac:dyDescent="0.2">
      <c r="B337" s="20"/>
      <c r="C337" s="23"/>
      <c r="E337" s="10"/>
      <c r="F337" s="27"/>
      <c r="G337" s="29"/>
    </row>
    <row r="338" spans="2:7" x14ac:dyDescent="0.2">
      <c r="B338" s="20"/>
      <c r="C338" s="23"/>
      <c r="E338" s="10"/>
      <c r="F338" s="27"/>
      <c r="G338" s="29"/>
    </row>
    <row r="339" spans="2:7" x14ac:dyDescent="0.2">
      <c r="B339" s="20"/>
      <c r="C339" s="23"/>
      <c r="E339" s="10"/>
      <c r="F339" s="27"/>
      <c r="G339" s="29"/>
    </row>
    <row r="340" spans="2:7" x14ac:dyDescent="0.2">
      <c r="B340" s="20"/>
      <c r="C340" s="23"/>
      <c r="E340" s="10"/>
      <c r="F340" s="27"/>
      <c r="G340" s="29"/>
    </row>
    <row r="341" spans="2:7" x14ac:dyDescent="0.2">
      <c r="B341" s="20"/>
      <c r="C341" s="23"/>
      <c r="E341" s="10"/>
      <c r="F341" s="27"/>
      <c r="G341" s="29"/>
    </row>
    <row r="342" spans="2:7" x14ac:dyDescent="0.2">
      <c r="B342" s="20"/>
      <c r="C342" s="23"/>
      <c r="E342" s="10"/>
      <c r="F342" s="27"/>
      <c r="G342" s="29"/>
    </row>
    <row r="343" spans="2:7" x14ac:dyDescent="0.2">
      <c r="B343" s="20"/>
      <c r="C343" s="23"/>
      <c r="E343" s="10"/>
      <c r="F343" s="27"/>
      <c r="G343" s="29"/>
    </row>
    <row r="344" spans="2:7" x14ac:dyDescent="0.2">
      <c r="B344" s="20"/>
      <c r="C344" s="23"/>
      <c r="E344" s="10"/>
      <c r="F344" s="27"/>
      <c r="G344" s="29"/>
    </row>
    <row r="345" spans="2:7" x14ac:dyDescent="0.2">
      <c r="B345" s="20"/>
      <c r="C345" s="23"/>
      <c r="D345" s="15"/>
      <c r="E345" s="10"/>
      <c r="F345" s="27"/>
      <c r="G345" s="29"/>
    </row>
    <row r="346" spans="2:7" x14ac:dyDescent="0.2">
      <c r="B346" s="20"/>
      <c r="C346" s="23"/>
      <c r="E346" s="10"/>
      <c r="F346" s="27"/>
      <c r="G346" s="29"/>
    </row>
    <row r="347" spans="2:7" x14ac:dyDescent="0.2">
      <c r="B347" s="20"/>
      <c r="C347" s="23"/>
      <c r="E347" s="10"/>
      <c r="F347" s="27"/>
      <c r="G347" s="29"/>
    </row>
    <row r="348" spans="2:7" x14ac:dyDescent="0.2">
      <c r="B348" s="20"/>
      <c r="C348" s="23"/>
      <c r="D348" s="15"/>
      <c r="E348" s="10"/>
      <c r="F348" s="27"/>
      <c r="G348" s="29"/>
    </row>
    <row r="349" spans="2:7" x14ac:dyDescent="0.2">
      <c r="B349" s="20"/>
      <c r="C349" s="23"/>
      <c r="E349" s="10"/>
      <c r="F349" s="27"/>
      <c r="G349" s="29"/>
    </row>
    <row r="350" spans="2:7" x14ac:dyDescent="0.2">
      <c r="B350" s="20"/>
      <c r="C350" s="23"/>
      <c r="E350" s="10"/>
      <c r="F350" s="27"/>
      <c r="G350" s="29"/>
    </row>
    <row r="351" spans="2:7" x14ac:dyDescent="0.2">
      <c r="B351" s="20"/>
      <c r="C351" s="23"/>
      <c r="D351" s="14"/>
      <c r="E351" s="10"/>
      <c r="F351" s="27"/>
      <c r="G351" s="29"/>
    </row>
    <row r="352" spans="2:7" x14ac:dyDescent="0.2">
      <c r="B352" s="20"/>
      <c r="C352" s="23"/>
      <c r="E352" s="10"/>
      <c r="F352" s="27"/>
      <c r="G352" s="29"/>
    </row>
    <row r="353" spans="2:7" x14ac:dyDescent="0.2">
      <c r="B353" s="20"/>
      <c r="C353" s="23"/>
      <c r="E353" s="10"/>
      <c r="F353" s="27"/>
      <c r="G353" s="29"/>
    </row>
    <row r="354" spans="2:7" x14ac:dyDescent="0.2">
      <c r="B354" s="20"/>
      <c r="C354" s="23"/>
      <c r="E354" s="10"/>
      <c r="F354" s="27"/>
      <c r="G354" s="29"/>
    </row>
    <row r="355" spans="2:7" x14ac:dyDescent="0.2">
      <c r="B355" s="20"/>
      <c r="C355" s="23"/>
      <c r="E355" s="10"/>
      <c r="F355" s="27"/>
      <c r="G355" s="29"/>
    </row>
    <row r="356" spans="2:7" x14ac:dyDescent="0.2">
      <c r="B356" s="20"/>
      <c r="C356" s="23"/>
      <c r="E356" s="10"/>
      <c r="F356" s="27"/>
      <c r="G356" s="29"/>
    </row>
    <row r="357" spans="2:7" x14ac:dyDescent="0.2">
      <c r="B357" s="20"/>
      <c r="C357" s="23"/>
      <c r="D357" s="14"/>
      <c r="E357" s="10"/>
      <c r="F357" s="27"/>
      <c r="G357" s="29"/>
    </row>
    <row r="358" spans="2:7" x14ac:dyDescent="0.2">
      <c r="B358" s="20"/>
      <c r="C358" s="23"/>
      <c r="E358" s="10"/>
      <c r="F358" s="27"/>
      <c r="G358" s="29"/>
    </row>
    <row r="359" spans="2:7" x14ac:dyDescent="0.2">
      <c r="B359" s="20"/>
      <c r="C359" s="23"/>
      <c r="E359" s="10"/>
      <c r="F359" s="27"/>
      <c r="G359" s="29"/>
    </row>
    <row r="360" spans="2:7" x14ac:dyDescent="0.2">
      <c r="B360" s="20"/>
      <c r="C360" s="23"/>
      <c r="E360" s="10"/>
      <c r="F360" s="27"/>
      <c r="G360" s="29"/>
    </row>
    <row r="361" spans="2:7" x14ac:dyDescent="0.2">
      <c r="B361" s="20"/>
      <c r="C361" s="23"/>
      <c r="E361" s="10"/>
      <c r="F361" s="27"/>
      <c r="G361" s="29"/>
    </row>
    <row r="362" spans="2:7" x14ac:dyDescent="0.2">
      <c r="B362" s="20"/>
      <c r="C362" s="23"/>
      <c r="E362" s="10"/>
      <c r="F362" s="27"/>
      <c r="G362" s="29"/>
    </row>
    <row r="363" spans="2:7" x14ac:dyDescent="0.2">
      <c r="B363" s="20"/>
      <c r="C363" s="23"/>
      <c r="E363" s="10"/>
      <c r="F363" s="27"/>
      <c r="G363" s="29"/>
    </row>
    <row r="364" spans="2:7" x14ac:dyDescent="0.2">
      <c r="B364" s="20"/>
      <c r="C364" s="23"/>
      <c r="E364" s="10"/>
      <c r="F364" s="27"/>
      <c r="G364" s="29"/>
    </row>
    <row r="365" spans="2:7" x14ac:dyDescent="0.2">
      <c r="B365" s="20"/>
      <c r="C365" s="23"/>
      <c r="E365" s="10"/>
      <c r="F365" s="27"/>
      <c r="G365" s="29"/>
    </row>
    <row r="366" spans="2:7" x14ac:dyDescent="0.2">
      <c r="B366" s="20"/>
      <c r="C366" s="23"/>
      <c r="E366" s="10"/>
      <c r="F366" s="27"/>
      <c r="G366" s="29"/>
    </row>
    <row r="367" spans="2:7" x14ac:dyDescent="0.2">
      <c r="B367" s="20"/>
      <c r="C367" s="23"/>
      <c r="E367" s="10"/>
      <c r="F367" s="27"/>
      <c r="G367" s="29"/>
    </row>
    <row r="368" spans="2:7" x14ac:dyDescent="0.2">
      <c r="B368" s="20"/>
      <c r="C368" s="23"/>
      <c r="E368" s="10"/>
      <c r="F368" s="27"/>
      <c r="G368" s="29"/>
    </row>
    <row r="369" spans="2:7" x14ac:dyDescent="0.2">
      <c r="B369" s="20"/>
      <c r="C369" s="23"/>
      <c r="E369" s="10"/>
      <c r="F369" s="27"/>
      <c r="G369" s="29"/>
    </row>
    <row r="370" spans="2:7" x14ac:dyDescent="0.2">
      <c r="B370" s="20"/>
      <c r="C370" s="23"/>
      <c r="E370" s="10"/>
      <c r="F370" s="27"/>
      <c r="G370" s="29"/>
    </row>
    <row r="371" spans="2:7" x14ac:dyDescent="0.2">
      <c r="B371" s="20"/>
      <c r="C371" s="23"/>
      <c r="E371" s="10"/>
      <c r="F371" s="27"/>
      <c r="G371" s="29"/>
    </row>
    <row r="372" spans="2:7" x14ac:dyDescent="0.2">
      <c r="B372" s="20"/>
      <c r="C372" s="23"/>
      <c r="E372" s="10"/>
      <c r="F372" s="27"/>
      <c r="G372" s="29"/>
    </row>
    <row r="373" spans="2:7" x14ac:dyDescent="0.2">
      <c r="B373" s="20"/>
      <c r="C373" s="23"/>
      <c r="E373" s="10"/>
      <c r="F373" s="27"/>
      <c r="G373" s="29"/>
    </row>
    <row r="374" spans="2:7" x14ac:dyDescent="0.2">
      <c r="B374" s="20"/>
      <c r="C374" s="23"/>
      <c r="E374" s="10"/>
      <c r="F374" s="27"/>
      <c r="G374" s="29"/>
    </row>
    <row r="375" spans="2:7" x14ac:dyDescent="0.2">
      <c r="B375" s="20"/>
      <c r="C375" s="23"/>
      <c r="E375" s="10"/>
      <c r="F375" s="27"/>
      <c r="G375" s="29"/>
    </row>
    <row r="376" spans="2:7" x14ac:dyDescent="0.2">
      <c r="B376" s="20"/>
      <c r="C376" s="23"/>
      <c r="E376" s="10"/>
      <c r="F376" s="27"/>
      <c r="G376" s="29"/>
    </row>
    <row r="377" spans="2:7" x14ac:dyDescent="0.2">
      <c r="B377" s="20"/>
      <c r="C377" s="23"/>
      <c r="E377" s="10"/>
      <c r="F377" s="27"/>
      <c r="G377" s="29"/>
    </row>
    <row r="378" spans="2:7" x14ac:dyDescent="0.2">
      <c r="B378" s="20"/>
      <c r="C378" s="23"/>
      <c r="E378" s="10"/>
      <c r="F378" s="27"/>
      <c r="G378" s="29"/>
    </row>
    <row r="379" spans="2:7" x14ac:dyDescent="0.2">
      <c r="B379" s="20"/>
      <c r="C379" s="23"/>
      <c r="E379" s="10"/>
      <c r="F379" s="27"/>
      <c r="G379" s="29"/>
    </row>
    <row r="380" spans="2:7" x14ac:dyDescent="0.2">
      <c r="B380" s="20"/>
      <c r="C380" s="23"/>
      <c r="E380" s="10"/>
      <c r="F380" s="27"/>
      <c r="G380" s="29"/>
    </row>
    <row r="381" spans="2:7" x14ac:dyDescent="0.2">
      <c r="B381" s="20"/>
      <c r="C381" s="23"/>
      <c r="E381" s="10"/>
      <c r="F381" s="27"/>
      <c r="G381" s="29"/>
    </row>
    <row r="382" spans="2:7" x14ac:dyDescent="0.2">
      <c r="B382" s="20"/>
      <c r="C382" s="23"/>
      <c r="E382" s="10"/>
      <c r="F382" s="27"/>
      <c r="G382" s="29"/>
    </row>
    <row r="383" spans="2:7" x14ac:dyDescent="0.2">
      <c r="B383" s="20"/>
      <c r="C383" s="23"/>
      <c r="E383" s="10"/>
      <c r="F383" s="27"/>
      <c r="G383" s="29"/>
    </row>
    <row r="384" spans="2:7" x14ac:dyDescent="0.2">
      <c r="B384" s="20"/>
      <c r="C384" s="23"/>
      <c r="E384" s="10"/>
      <c r="F384" s="27"/>
      <c r="G384" s="29"/>
    </row>
    <row r="385" spans="2:7" x14ac:dyDescent="0.2">
      <c r="B385" s="20"/>
      <c r="C385" s="23"/>
      <c r="E385" s="10"/>
      <c r="F385" s="27"/>
      <c r="G385" s="29"/>
    </row>
    <row r="386" spans="2:7" x14ac:dyDescent="0.2">
      <c r="B386" s="20"/>
      <c r="C386" s="23"/>
      <c r="E386" s="10"/>
      <c r="F386" s="27"/>
      <c r="G386" s="29"/>
    </row>
    <row r="387" spans="2:7" x14ac:dyDescent="0.2">
      <c r="B387" s="20"/>
      <c r="C387" s="23"/>
      <c r="E387" s="10"/>
      <c r="F387" s="27"/>
      <c r="G387" s="29"/>
    </row>
    <row r="388" spans="2:7" x14ac:dyDescent="0.2">
      <c r="B388" s="20"/>
      <c r="C388" s="23"/>
      <c r="E388" s="10"/>
      <c r="F388" s="27"/>
      <c r="G388" s="29"/>
    </row>
    <row r="389" spans="2:7" x14ac:dyDescent="0.2">
      <c r="B389" s="20"/>
      <c r="C389" s="23"/>
      <c r="E389" s="10"/>
      <c r="F389" s="27"/>
      <c r="G389" s="29"/>
    </row>
    <row r="390" spans="2:7" x14ac:dyDescent="0.2">
      <c r="B390" s="20"/>
      <c r="C390" s="23"/>
      <c r="E390" s="10"/>
      <c r="F390" s="27"/>
      <c r="G390" s="29"/>
    </row>
    <row r="391" spans="2:7" x14ac:dyDescent="0.2">
      <c r="B391" s="20"/>
      <c r="C391" s="23"/>
      <c r="E391" s="10"/>
      <c r="F391" s="27"/>
      <c r="G391" s="29"/>
    </row>
    <row r="392" spans="2:7" x14ac:dyDescent="0.2">
      <c r="B392" s="20"/>
      <c r="C392" s="23"/>
      <c r="E392" s="10"/>
      <c r="F392" s="27"/>
      <c r="G392" s="29"/>
    </row>
    <row r="393" spans="2:7" x14ac:dyDescent="0.2">
      <c r="B393" s="20"/>
      <c r="C393" s="23"/>
      <c r="E393" s="10"/>
      <c r="F393" s="27"/>
      <c r="G393" s="29"/>
    </row>
    <row r="394" spans="2:7" x14ac:dyDescent="0.2">
      <c r="B394" s="20"/>
      <c r="C394" s="23"/>
      <c r="E394" s="10"/>
      <c r="F394" s="27"/>
      <c r="G394" s="29"/>
    </row>
    <row r="395" spans="2:7" x14ac:dyDescent="0.2">
      <c r="B395" s="20"/>
      <c r="C395" s="23"/>
      <c r="E395" s="10"/>
      <c r="F395" s="27"/>
      <c r="G395" s="29"/>
    </row>
    <row r="396" spans="2:7" x14ac:dyDescent="0.2">
      <c r="B396" s="20"/>
      <c r="C396" s="23"/>
      <c r="E396" s="10"/>
      <c r="F396" s="27"/>
      <c r="G396" s="29"/>
    </row>
    <row r="397" spans="2:7" x14ac:dyDescent="0.2">
      <c r="B397" s="20"/>
      <c r="C397" s="23"/>
      <c r="E397" s="10"/>
      <c r="F397" s="27"/>
      <c r="G397" s="29"/>
    </row>
    <row r="398" spans="2:7" x14ac:dyDescent="0.2">
      <c r="B398" s="20"/>
      <c r="C398" s="23"/>
      <c r="E398" s="10"/>
      <c r="F398" s="27"/>
      <c r="G398" s="29"/>
    </row>
    <row r="399" spans="2:7" x14ac:dyDescent="0.2">
      <c r="B399" s="20"/>
      <c r="C399" s="23"/>
      <c r="E399" s="10"/>
      <c r="F399" s="27"/>
      <c r="G399" s="29"/>
    </row>
    <row r="400" spans="2:7" x14ac:dyDescent="0.2">
      <c r="B400" s="20"/>
      <c r="C400" s="23"/>
      <c r="D400" s="15"/>
      <c r="E400" s="10"/>
      <c r="F400" s="27"/>
      <c r="G400" s="29"/>
    </row>
    <row r="401" spans="2:7" x14ac:dyDescent="0.2">
      <c r="B401" s="20"/>
      <c r="C401" s="23"/>
      <c r="E401" s="10"/>
      <c r="F401" s="27"/>
      <c r="G401" s="29"/>
    </row>
    <row r="402" spans="2:7" x14ac:dyDescent="0.2">
      <c r="B402" s="20"/>
      <c r="C402" s="23"/>
      <c r="E402" s="10"/>
      <c r="F402" s="27"/>
      <c r="G402" s="29"/>
    </row>
    <row r="403" spans="2:7" x14ac:dyDescent="0.2">
      <c r="B403" s="20"/>
      <c r="C403" s="23"/>
      <c r="E403" s="10"/>
      <c r="F403" s="27"/>
      <c r="G403" s="29"/>
    </row>
    <row r="404" spans="2:7" x14ac:dyDescent="0.2">
      <c r="B404" s="20"/>
      <c r="C404" s="23"/>
      <c r="E404" s="10"/>
      <c r="F404" s="27"/>
      <c r="G404" s="29"/>
    </row>
    <row r="405" spans="2:7" x14ac:dyDescent="0.2">
      <c r="B405" s="20"/>
      <c r="C405" s="23"/>
      <c r="E405" s="10"/>
      <c r="F405" s="27"/>
      <c r="G405" s="29"/>
    </row>
    <row r="406" spans="2:7" x14ac:dyDescent="0.2">
      <c r="B406" s="20"/>
      <c r="C406" s="23"/>
      <c r="E406" s="10"/>
      <c r="F406" s="27"/>
      <c r="G406" s="29"/>
    </row>
    <row r="407" spans="2:7" x14ac:dyDescent="0.2">
      <c r="B407" s="20"/>
      <c r="C407" s="23"/>
      <c r="E407" s="10"/>
      <c r="F407" s="27"/>
      <c r="G407" s="29"/>
    </row>
    <row r="408" spans="2:7" x14ac:dyDescent="0.2">
      <c r="B408" s="20"/>
      <c r="C408" s="23"/>
      <c r="E408" s="10"/>
      <c r="F408" s="27"/>
      <c r="G408" s="29"/>
    </row>
    <row r="409" spans="2:7" x14ac:dyDescent="0.2">
      <c r="B409" s="20"/>
      <c r="C409" s="23"/>
      <c r="E409" s="10"/>
      <c r="F409" s="27"/>
      <c r="G409" s="29"/>
    </row>
    <row r="410" spans="2:7" x14ac:dyDescent="0.2">
      <c r="B410" s="20"/>
      <c r="C410" s="23"/>
      <c r="E410" s="10"/>
      <c r="F410" s="27"/>
      <c r="G410" s="29"/>
    </row>
    <row r="411" spans="2:7" x14ac:dyDescent="0.2">
      <c r="B411" s="20"/>
      <c r="C411" s="23"/>
      <c r="E411" s="10"/>
      <c r="F411" s="27"/>
      <c r="G411" s="29"/>
    </row>
    <row r="412" spans="2:7" x14ac:dyDescent="0.2">
      <c r="B412" s="20"/>
      <c r="C412" s="23"/>
      <c r="E412" s="10"/>
      <c r="F412" s="27"/>
      <c r="G412" s="29"/>
    </row>
    <row r="413" spans="2:7" x14ac:dyDescent="0.2">
      <c r="B413" s="20"/>
      <c r="C413" s="23"/>
      <c r="E413" s="10"/>
      <c r="F413" s="27"/>
      <c r="G413" s="29"/>
    </row>
    <row r="414" spans="2:7" x14ac:dyDescent="0.2">
      <c r="B414" s="20"/>
      <c r="C414" s="23"/>
      <c r="E414" s="10"/>
      <c r="F414" s="27"/>
      <c r="G414" s="29"/>
    </row>
    <row r="415" spans="2:7" x14ac:dyDescent="0.2">
      <c r="B415" s="20"/>
      <c r="C415" s="23"/>
      <c r="E415" s="10"/>
      <c r="F415" s="27"/>
      <c r="G415" s="29"/>
    </row>
    <row r="416" spans="2:7" x14ac:dyDescent="0.2">
      <c r="B416" s="20"/>
      <c r="C416" s="23"/>
      <c r="E416" s="10"/>
      <c r="F416" s="27"/>
      <c r="G416" s="29"/>
    </row>
    <row r="417" spans="2:7" x14ac:dyDescent="0.2">
      <c r="B417" s="20"/>
      <c r="C417" s="23"/>
      <c r="E417" s="10"/>
      <c r="F417" s="27"/>
      <c r="G417" s="29"/>
    </row>
    <row r="418" spans="2:7" x14ac:dyDescent="0.2">
      <c r="B418" s="20"/>
      <c r="C418" s="23"/>
      <c r="E418" s="10"/>
      <c r="F418" s="27"/>
      <c r="G418" s="29"/>
    </row>
    <row r="419" spans="2:7" x14ac:dyDescent="0.2">
      <c r="B419" s="20"/>
      <c r="C419" s="23"/>
      <c r="E419" s="10"/>
      <c r="F419" s="27"/>
      <c r="G419" s="29"/>
    </row>
    <row r="420" spans="2:7" x14ac:dyDescent="0.2">
      <c r="B420" s="20"/>
      <c r="C420" s="23"/>
      <c r="E420" s="10"/>
      <c r="F420" s="27"/>
      <c r="G420" s="29"/>
    </row>
    <row r="421" spans="2:7" x14ac:dyDescent="0.2">
      <c r="B421" s="20"/>
      <c r="C421" s="23"/>
      <c r="E421" s="10"/>
      <c r="F421" s="27"/>
      <c r="G421" s="29"/>
    </row>
    <row r="422" spans="2:7" x14ac:dyDescent="0.2">
      <c r="B422" s="20"/>
      <c r="C422" s="23"/>
      <c r="E422" s="10"/>
      <c r="F422" s="27"/>
      <c r="G422" s="29"/>
    </row>
    <row r="423" spans="2:7" x14ac:dyDescent="0.2">
      <c r="B423" s="20"/>
      <c r="C423" s="23"/>
      <c r="E423" s="10"/>
      <c r="F423" s="27"/>
      <c r="G423" s="29"/>
    </row>
    <row r="424" spans="2:7" x14ac:dyDescent="0.2">
      <c r="B424" s="20"/>
      <c r="C424" s="23"/>
      <c r="E424" s="10"/>
      <c r="F424" s="27"/>
      <c r="G424" s="29"/>
    </row>
    <row r="425" spans="2:7" x14ac:dyDescent="0.2">
      <c r="B425" s="20"/>
      <c r="C425" s="23"/>
      <c r="E425" s="10"/>
      <c r="F425" s="27"/>
      <c r="G425" s="29"/>
    </row>
    <row r="426" spans="2:7" x14ac:dyDescent="0.2">
      <c r="B426" s="20"/>
      <c r="C426" s="23"/>
      <c r="E426" s="10"/>
      <c r="F426" s="27"/>
      <c r="G426" s="29"/>
    </row>
    <row r="427" spans="2:7" x14ac:dyDescent="0.2">
      <c r="B427" s="20"/>
      <c r="C427" s="23"/>
      <c r="E427" s="10"/>
      <c r="F427" s="27"/>
      <c r="G427" s="29"/>
    </row>
    <row r="428" spans="2:7" x14ac:dyDescent="0.2">
      <c r="B428" s="20"/>
      <c r="C428" s="23"/>
      <c r="E428" s="10"/>
      <c r="F428" s="27"/>
      <c r="G428" s="29"/>
    </row>
    <row r="429" spans="2:7" x14ac:dyDescent="0.2">
      <c r="B429" s="20"/>
      <c r="C429" s="23"/>
      <c r="E429" s="10"/>
      <c r="F429" s="27"/>
      <c r="G429" s="29"/>
    </row>
    <row r="430" spans="2:7" x14ac:dyDescent="0.2">
      <c r="B430" s="20"/>
      <c r="C430" s="23"/>
      <c r="E430" s="10"/>
      <c r="F430" s="27"/>
      <c r="G430" s="29"/>
    </row>
    <row r="431" spans="2:7" x14ac:dyDescent="0.2">
      <c r="B431" s="20"/>
      <c r="C431" s="23"/>
      <c r="E431" s="10"/>
      <c r="F431" s="27"/>
      <c r="G431" s="29"/>
    </row>
    <row r="432" spans="2:7" x14ac:dyDescent="0.2">
      <c r="B432" s="20"/>
      <c r="C432" s="23"/>
      <c r="E432" s="10"/>
      <c r="F432" s="27"/>
      <c r="G432" s="29"/>
    </row>
    <row r="433" spans="2:7" x14ac:dyDescent="0.2">
      <c r="B433" s="20"/>
      <c r="C433" s="23"/>
      <c r="E433" s="10"/>
      <c r="F433" s="27"/>
      <c r="G433" s="29"/>
    </row>
    <row r="434" spans="2:7" x14ac:dyDescent="0.2">
      <c r="B434" s="20"/>
      <c r="C434" s="23"/>
      <c r="E434" s="10"/>
      <c r="F434" s="27"/>
      <c r="G434" s="29"/>
    </row>
    <row r="435" spans="2:7" x14ac:dyDescent="0.2">
      <c r="B435" s="20"/>
      <c r="C435" s="23"/>
      <c r="E435" s="10"/>
      <c r="F435" s="27"/>
      <c r="G435" s="29"/>
    </row>
    <row r="436" spans="2:7" x14ac:dyDescent="0.2">
      <c r="B436" s="20"/>
      <c r="C436" s="23"/>
      <c r="E436" s="10"/>
      <c r="F436" s="27"/>
      <c r="G436" s="29"/>
    </row>
    <row r="437" spans="2:7" x14ac:dyDescent="0.2">
      <c r="B437" s="20"/>
      <c r="C437" s="23"/>
      <c r="E437" s="10"/>
      <c r="F437" s="27"/>
      <c r="G437" s="29"/>
    </row>
    <row r="438" spans="2:7" x14ac:dyDescent="0.2">
      <c r="B438" s="20"/>
      <c r="C438" s="23"/>
      <c r="E438" s="10"/>
      <c r="F438" s="27"/>
      <c r="G438" s="29"/>
    </row>
    <row r="439" spans="2:7" x14ac:dyDescent="0.2">
      <c r="B439" s="20"/>
      <c r="C439" s="23"/>
      <c r="E439" s="10"/>
      <c r="F439" s="27"/>
      <c r="G439" s="29"/>
    </row>
    <row r="440" spans="2:7" x14ac:dyDescent="0.2">
      <c r="B440" s="20"/>
      <c r="C440" s="23"/>
      <c r="E440" s="10"/>
      <c r="F440" s="27"/>
      <c r="G440" s="29"/>
    </row>
    <row r="441" spans="2:7" x14ac:dyDescent="0.2">
      <c r="B441" s="20"/>
      <c r="C441" s="23"/>
      <c r="D441" s="17"/>
      <c r="E441" s="10"/>
      <c r="F441" s="27"/>
      <c r="G441" s="29"/>
    </row>
    <row r="442" spans="2:7" x14ac:dyDescent="0.2">
      <c r="B442" s="20"/>
      <c r="C442" s="23"/>
      <c r="E442" s="10"/>
      <c r="F442" s="27"/>
      <c r="G442" s="29"/>
    </row>
    <row r="443" spans="2:7" x14ac:dyDescent="0.2">
      <c r="B443" s="20"/>
      <c r="C443" s="23"/>
      <c r="E443" s="10"/>
      <c r="F443" s="27"/>
      <c r="G443" s="29"/>
    </row>
    <row r="444" spans="2:7" x14ac:dyDescent="0.2">
      <c r="B444" s="20"/>
      <c r="C444" s="23"/>
      <c r="E444" s="10"/>
      <c r="F444" s="27"/>
      <c r="G444" s="29"/>
    </row>
    <row r="445" spans="2:7" x14ac:dyDescent="0.2">
      <c r="B445" s="20"/>
      <c r="C445" s="23"/>
      <c r="E445" s="10"/>
      <c r="F445" s="27"/>
      <c r="G445" s="29"/>
    </row>
    <row r="446" spans="2:7" x14ac:dyDescent="0.2">
      <c r="B446" s="20"/>
      <c r="C446" s="23"/>
      <c r="E446" s="10"/>
      <c r="F446" s="27"/>
      <c r="G446" s="29"/>
    </row>
    <row r="447" spans="2:7" x14ac:dyDescent="0.2">
      <c r="B447" s="20"/>
      <c r="C447" s="23"/>
      <c r="E447" s="10"/>
      <c r="F447" s="27"/>
      <c r="G447" s="29"/>
    </row>
    <row r="448" spans="2:7" x14ac:dyDescent="0.2">
      <c r="B448" s="20"/>
      <c r="C448" s="23"/>
      <c r="E448" s="10"/>
      <c r="F448" s="27"/>
      <c r="G448" s="29"/>
    </row>
    <row r="449" spans="2:7" x14ac:dyDescent="0.2">
      <c r="B449" s="20"/>
      <c r="C449" s="23"/>
      <c r="E449" s="10"/>
      <c r="F449" s="27"/>
      <c r="G449" s="29"/>
    </row>
    <row r="450" spans="2:7" x14ac:dyDescent="0.2">
      <c r="B450" s="20"/>
      <c r="C450" s="23"/>
      <c r="E450" s="10"/>
      <c r="F450" s="27"/>
      <c r="G450" s="29"/>
    </row>
    <row r="451" spans="2:7" x14ac:dyDescent="0.2">
      <c r="B451" s="20"/>
      <c r="C451" s="23"/>
      <c r="D451" s="15"/>
      <c r="E451" s="10"/>
      <c r="F451" s="27"/>
      <c r="G451" s="29"/>
    </row>
    <row r="452" spans="2:7" x14ac:dyDescent="0.2">
      <c r="B452" s="20"/>
      <c r="C452" s="23"/>
      <c r="E452" s="10"/>
      <c r="F452" s="27"/>
      <c r="G452" s="29"/>
    </row>
    <row r="453" spans="2:7" x14ac:dyDescent="0.2">
      <c r="B453" s="20"/>
      <c r="C453" s="23"/>
      <c r="E453" s="10"/>
      <c r="F453" s="27"/>
      <c r="G453" s="29"/>
    </row>
    <row r="454" spans="2:7" x14ac:dyDescent="0.2">
      <c r="B454" s="20"/>
      <c r="C454" s="23"/>
      <c r="E454" s="10"/>
      <c r="F454" s="27"/>
      <c r="G454" s="29"/>
    </row>
    <row r="455" spans="2:7" x14ac:dyDescent="0.2">
      <c r="B455" s="20"/>
      <c r="C455" s="23"/>
      <c r="E455" s="10"/>
      <c r="F455" s="27"/>
      <c r="G455" s="29"/>
    </row>
    <row r="456" spans="2:7" x14ac:dyDescent="0.2">
      <c r="B456" s="20"/>
      <c r="C456" s="23"/>
      <c r="E456" s="10"/>
      <c r="F456" s="27"/>
      <c r="G456" s="29"/>
    </row>
    <row r="457" spans="2:7" x14ac:dyDescent="0.2">
      <c r="B457" s="20"/>
      <c r="C457" s="23"/>
      <c r="E457" s="10"/>
      <c r="F457" s="27"/>
      <c r="G457" s="29"/>
    </row>
    <row r="458" spans="2:7" x14ac:dyDescent="0.2">
      <c r="B458" s="20"/>
      <c r="C458" s="23"/>
      <c r="E458" s="10"/>
      <c r="F458" s="27"/>
      <c r="G458" s="29"/>
    </row>
    <row r="459" spans="2:7" x14ac:dyDescent="0.2">
      <c r="B459" s="20"/>
      <c r="C459" s="23"/>
      <c r="E459" s="10"/>
      <c r="F459" s="27"/>
      <c r="G459" s="29"/>
    </row>
    <row r="460" spans="2:7" x14ac:dyDescent="0.2">
      <c r="B460" s="20"/>
      <c r="C460" s="23"/>
      <c r="E460" s="10"/>
      <c r="F460" s="27"/>
      <c r="G460" s="29"/>
    </row>
    <row r="461" spans="2:7" x14ac:dyDescent="0.2">
      <c r="B461" s="20"/>
      <c r="C461" s="23"/>
      <c r="E461" s="10"/>
      <c r="F461" s="27"/>
      <c r="G461" s="29"/>
    </row>
    <row r="462" spans="2:7" x14ac:dyDescent="0.2">
      <c r="B462" s="20"/>
      <c r="C462" s="23"/>
      <c r="E462" s="10"/>
      <c r="F462" s="27"/>
      <c r="G462" s="29"/>
    </row>
    <row r="463" spans="2:7" x14ac:dyDescent="0.2">
      <c r="B463" s="20"/>
      <c r="C463" s="23"/>
      <c r="E463" s="10"/>
      <c r="F463" s="27"/>
      <c r="G463" s="29"/>
    </row>
    <row r="464" spans="2:7" x14ac:dyDescent="0.2">
      <c r="B464" s="20"/>
      <c r="C464" s="23"/>
      <c r="E464" s="10"/>
      <c r="F464" s="27"/>
      <c r="G464" s="29"/>
    </row>
    <row r="465" spans="2:7" x14ac:dyDescent="0.2">
      <c r="B465" s="20"/>
      <c r="C465" s="23"/>
      <c r="E465" s="10"/>
      <c r="F465" s="27"/>
      <c r="G465" s="29"/>
    </row>
    <row r="466" spans="2:7" x14ac:dyDescent="0.2">
      <c r="B466" s="20"/>
      <c r="C466" s="23"/>
      <c r="E466" s="10"/>
      <c r="F466" s="27"/>
      <c r="G466" s="29"/>
    </row>
    <row r="467" spans="2:7" x14ac:dyDescent="0.2">
      <c r="B467" s="20"/>
      <c r="C467" s="23"/>
      <c r="E467" s="10"/>
      <c r="F467" s="27"/>
      <c r="G467" s="29"/>
    </row>
    <row r="468" spans="2:7" x14ac:dyDescent="0.2">
      <c r="B468" s="20"/>
      <c r="C468" s="23"/>
      <c r="E468" s="10"/>
      <c r="F468" s="27"/>
      <c r="G468" s="29"/>
    </row>
    <row r="469" spans="2:7" x14ac:dyDescent="0.2">
      <c r="B469" s="20"/>
      <c r="C469" s="23"/>
      <c r="D469" s="15"/>
      <c r="E469" s="10"/>
      <c r="F469" s="27"/>
      <c r="G469" s="29"/>
    </row>
    <row r="470" spans="2:7" x14ac:dyDescent="0.2">
      <c r="B470" s="20"/>
      <c r="C470" s="23"/>
      <c r="E470" s="10"/>
      <c r="F470" s="27"/>
      <c r="G470" s="29"/>
    </row>
    <row r="471" spans="2:7" x14ac:dyDescent="0.2">
      <c r="B471" s="20"/>
      <c r="C471" s="23"/>
      <c r="E471" s="10"/>
      <c r="F471" s="27"/>
      <c r="G471" s="29"/>
    </row>
    <row r="472" spans="2:7" x14ac:dyDescent="0.2">
      <c r="B472" s="20"/>
      <c r="C472" s="23"/>
      <c r="D472" s="14"/>
      <c r="E472" s="10"/>
      <c r="F472" s="27"/>
      <c r="G472" s="29"/>
    </row>
    <row r="473" spans="2:7" x14ac:dyDescent="0.2">
      <c r="B473" s="20"/>
      <c r="C473" s="23"/>
      <c r="D473" s="14"/>
      <c r="E473" s="10"/>
      <c r="F473" s="27"/>
      <c r="G473" s="29"/>
    </row>
    <row r="474" spans="2:7" x14ac:dyDescent="0.2">
      <c r="B474" s="20"/>
      <c r="C474" s="23"/>
      <c r="E474" s="10"/>
      <c r="F474" s="27"/>
      <c r="G474" s="29"/>
    </row>
    <row r="475" spans="2:7" x14ac:dyDescent="0.2">
      <c r="B475" s="20"/>
      <c r="C475" s="23"/>
      <c r="E475" s="10"/>
      <c r="F475" s="27"/>
      <c r="G475" s="29"/>
    </row>
    <row r="476" spans="2:7" x14ac:dyDescent="0.2">
      <c r="B476" s="20"/>
      <c r="C476" s="23"/>
      <c r="E476" s="10"/>
      <c r="F476" s="27"/>
      <c r="G476" s="29"/>
    </row>
    <row r="477" spans="2:7" x14ac:dyDescent="0.2">
      <c r="B477" s="20"/>
      <c r="C477" s="23"/>
      <c r="E477" s="10"/>
      <c r="F477" s="27"/>
      <c r="G477" s="29"/>
    </row>
    <row r="478" spans="2:7" x14ac:dyDescent="0.2">
      <c r="B478" s="20"/>
      <c r="C478" s="23"/>
      <c r="E478" s="10"/>
      <c r="F478" s="27"/>
      <c r="G478" s="29"/>
    </row>
    <row r="479" spans="2:7" x14ac:dyDescent="0.2">
      <c r="B479" s="20"/>
      <c r="C479" s="23"/>
      <c r="E479" s="10"/>
      <c r="F479" s="27"/>
      <c r="G479" s="29"/>
    </row>
    <row r="480" spans="2:7" x14ac:dyDescent="0.2">
      <c r="B480" s="20"/>
      <c r="C480" s="23"/>
      <c r="E480" s="10"/>
      <c r="F480" s="27"/>
      <c r="G480" s="29"/>
    </row>
    <row r="481" spans="2:7" x14ac:dyDescent="0.2">
      <c r="B481" s="20"/>
      <c r="C481" s="23"/>
      <c r="E481" s="10"/>
      <c r="F481" s="27"/>
      <c r="G481" s="29"/>
    </row>
    <row r="482" spans="2:7" x14ac:dyDescent="0.2">
      <c r="B482" s="20"/>
      <c r="C482" s="23"/>
      <c r="E482" s="10"/>
      <c r="F482" s="27"/>
      <c r="G482" s="29"/>
    </row>
    <row r="483" spans="2:7" x14ac:dyDescent="0.2">
      <c r="B483" s="20"/>
      <c r="C483" s="23"/>
      <c r="E483" s="10"/>
      <c r="F483" s="27"/>
      <c r="G483" s="29"/>
    </row>
    <row r="484" spans="2:7" x14ac:dyDescent="0.2">
      <c r="B484" s="20"/>
      <c r="C484" s="23"/>
      <c r="E484" s="10"/>
      <c r="F484" s="27"/>
      <c r="G484" s="29"/>
    </row>
    <row r="485" spans="2:7" x14ac:dyDescent="0.2">
      <c r="B485" s="20"/>
      <c r="C485" s="23"/>
      <c r="E485" s="10"/>
      <c r="F485" s="27"/>
      <c r="G485" s="29"/>
    </row>
    <row r="486" spans="2:7" x14ac:dyDescent="0.2">
      <c r="B486" s="20"/>
      <c r="C486" s="23"/>
      <c r="E486" s="10"/>
      <c r="F486" s="27"/>
      <c r="G486" s="29"/>
    </row>
    <row r="487" spans="2:7" x14ac:dyDescent="0.2">
      <c r="B487" s="20"/>
      <c r="C487" s="23"/>
      <c r="E487" s="10"/>
      <c r="F487" s="27"/>
      <c r="G487" s="29"/>
    </row>
    <row r="488" spans="2:7" x14ac:dyDescent="0.2">
      <c r="B488" s="20"/>
      <c r="C488" s="23"/>
      <c r="E488" s="10"/>
      <c r="F488" s="27"/>
      <c r="G488" s="29"/>
    </row>
    <row r="489" spans="2:7" x14ac:dyDescent="0.2">
      <c r="B489" s="20"/>
      <c r="C489" s="23"/>
      <c r="E489" s="10"/>
      <c r="F489" s="27"/>
      <c r="G489" s="29"/>
    </row>
    <row r="490" spans="2:7" x14ac:dyDescent="0.2">
      <c r="B490" s="20"/>
      <c r="C490" s="23"/>
      <c r="E490" s="10"/>
      <c r="F490" s="27"/>
      <c r="G490" s="29"/>
    </row>
    <row r="491" spans="2:7" x14ac:dyDescent="0.2">
      <c r="B491" s="20"/>
      <c r="C491" s="23"/>
      <c r="E491" s="10"/>
      <c r="F491" s="27"/>
      <c r="G491" s="29"/>
    </row>
    <row r="492" spans="2:7" x14ac:dyDescent="0.2">
      <c r="B492" s="20"/>
      <c r="C492" s="23"/>
      <c r="E492" s="10"/>
      <c r="F492" s="27"/>
      <c r="G492" s="29"/>
    </row>
    <row r="493" spans="2:7" x14ac:dyDescent="0.2">
      <c r="B493" s="20"/>
      <c r="C493" s="23"/>
      <c r="E493" s="10"/>
      <c r="F493" s="27"/>
      <c r="G493" s="29"/>
    </row>
    <row r="494" spans="2:7" x14ac:dyDescent="0.2">
      <c r="B494" s="20"/>
      <c r="C494" s="23"/>
      <c r="E494" s="10"/>
      <c r="F494" s="27"/>
      <c r="G494" s="29"/>
    </row>
    <row r="495" spans="2:7" x14ac:dyDescent="0.2">
      <c r="B495" s="20"/>
      <c r="C495" s="23"/>
      <c r="E495" s="10"/>
      <c r="F495" s="27"/>
      <c r="G495" s="29"/>
    </row>
    <row r="496" spans="2:7" x14ac:dyDescent="0.2">
      <c r="B496" s="20"/>
      <c r="C496" s="23"/>
      <c r="E496" s="10"/>
      <c r="F496" s="27"/>
      <c r="G496" s="29"/>
    </row>
    <row r="497" spans="2:7" x14ac:dyDescent="0.2">
      <c r="B497" s="20"/>
      <c r="C497" s="23"/>
      <c r="E497" s="10"/>
      <c r="F497" s="27"/>
      <c r="G497" s="29"/>
    </row>
    <row r="498" spans="2:7" x14ac:dyDescent="0.2">
      <c r="B498" s="20"/>
      <c r="C498" s="23"/>
      <c r="E498" s="10"/>
      <c r="F498" s="27"/>
      <c r="G498" s="29"/>
    </row>
    <row r="499" spans="2:7" x14ac:dyDescent="0.2">
      <c r="B499" s="20"/>
      <c r="C499" s="23"/>
      <c r="E499" s="10"/>
      <c r="F499" s="27"/>
      <c r="G499" s="29"/>
    </row>
    <row r="500" spans="2:7" x14ac:dyDescent="0.2">
      <c r="B500" s="20"/>
      <c r="C500" s="23"/>
      <c r="E500" s="10"/>
      <c r="F500" s="27"/>
      <c r="G500" s="29"/>
    </row>
    <row r="501" spans="2:7" x14ac:dyDescent="0.2">
      <c r="B501" s="20"/>
      <c r="C501" s="23"/>
      <c r="E501" s="10"/>
      <c r="F501" s="27"/>
      <c r="G501" s="29"/>
    </row>
    <row r="502" spans="2:7" x14ac:dyDescent="0.2">
      <c r="B502" s="20"/>
      <c r="C502" s="23"/>
      <c r="E502" s="10"/>
      <c r="F502" s="27"/>
      <c r="G502" s="29"/>
    </row>
    <row r="503" spans="2:7" x14ac:dyDescent="0.2">
      <c r="B503" s="20"/>
      <c r="C503" s="23"/>
      <c r="E503" s="10"/>
      <c r="F503" s="27"/>
      <c r="G503" s="29"/>
    </row>
    <row r="504" spans="2:7" x14ac:dyDescent="0.2">
      <c r="B504" s="20"/>
      <c r="C504" s="23"/>
      <c r="E504" s="10"/>
      <c r="F504" s="27"/>
      <c r="G504" s="29"/>
    </row>
    <row r="505" spans="2:7" x14ac:dyDescent="0.2">
      <c r="B505" s="20"/>
      <c r="C505" s="23"/>
      <c r="E505" s="10"/>
      <c r="F505" s="27"/>
      <c r="G505" s="29"/>
    </row>
    <row r="506" spans="2:7" x14ac:dyDescent="0.2">
      <c r="B506" s="20"/>
      <c r="C506" s="23"/>
      <c r="E506" s="10"/>
      <c r="F506" s="27"/>
      <c r="G506" s="29"/>
    </row>
    <row r="507" spans="2:7" x14ac:dyDescent="0.2">
      <c r="B507" s="20"/>
      <c r="C507" s="23"/>
      <c r="E507" s="10"/>
      <c r="F507" s="27"/>
      <c r="G507" s="29"/>
    </row>
    <row r="508" spans="2:7" x14ac:dyDescent="0.2">
      <c r="B508" s="20"/>
      <c r="C508" s="23"/>
      <c r="E508" s="10"/>
      <c r="F508" s="27"/>
      <c r="G508" s="29"/>
    </row>
    <row r="509" spans="2:7" x14ac:dyDescent="0.2">
      <c r="B509" s="20"/>
      <c r="C509" s="23"/>
      <c r="E509" s="10"/>
      <c r="F509" s="27"/>
      <c r="G509" s="29"/>
    </row>
    <row r="510" spans="2:7" x14ac:dyDescent="0.2">
      <c r="B510" s="20"/>
      <c r="C510" s="23"/>
      <c r="E510" s="10"/>
      <c r="F510" s="27"/>
      <c r="G510" s="29"/>
    </row>
    <row r="511" spans="2:7" x14ac:dyDescent="0.2">
      <c r="B511" s="20"/>
      <c r="C511" s="23"/>
      <c r="E511" s="10"/>
      <c r="F511" s="27"/>
      <c r="G511" s="29"/>
    </row>
    <row r="512" spans="2:7" x14ac:dyDescent="0.2">
      <c r="B512" s="20"/>
      <c r="C512" s="23"/>
      <c r="E512" s="10"/>
      <c r="F512" s="27"/>
      <c r="G512" s="29"/>
    </row>
    <row r="513" spans="2:7" x14ac:dyDescent="0.2">
      <c r="B513" s="20"/>
      <c r="C513" s="23"/>
      <c r="E513" s="10"/>
      <c r="F513" s="27"/>
      <c r="G513" s="29"/>
    </row>
    <row r="514" spans="2:7" x14ac:dyDescent="0.2">
      <c r="B514" s="20"/>
      <c r="C514" s="23"/>
      <c r="E514" s="10"/>
      <c r="F514" s="27"/>
      <c r="G514" s="29"/>
    </row>
    <row r="515" spans="2:7" x14ac:dyDescent="0.2">
      <c r="B515" s="20"/>
      <c r="C515" s="23"/>
      <c r="E515" s="10"/>
      <c r="F515" s="27"/>
      <c r="G515" s="29"/>
    </row>
    <row r="516" spans="2:7" x14ac:dyDescent="0.2">
      <c r="B516" s="20"/>
      <c r="C516" s="23"/>
      <c r="E516" s="10"/>
      <c r="F516" s="27"/>
      <c r="G516" s="29"/>
    </row>
    <row r="517" spans="2:7" x14ac:dyDescent="0.2">
      <c r="B517" s="20"/>
      <c r="C517" s="23"/>
      <c r="E517" s="10"/>
      <c r="F517" s="27"/>
      <c r="G517" s="29"/>
    </row>
    <row r="518" spans="2:7" x14ac:dyDescent="0.2">
      <c r="B518" s="20"/>
      <c r="C518" s="23"/>
      <c r="E518" s="10"/>
      <c r="F518" s="27"/>
      <c r="G518" s="29"/>
    </row>
    <row r="519" spans="2:7" x14ac:dyDescent="0.2">
      <c r="B519" s="20"/>
      <c r="C519" s="23"/>
      <c r="E519" s="10"/>
      <c r="F519" s="27"/>
      <c r="G519" s="29"/>
    </row>
    <row r="520" spans="2:7" x14ac:dyDescent="0.2">
      <c r="B520" s="20"/>
      <c r="C520" s="23"/>
      <c r="E520" s="10"/>
      <c r="F520" s="27"/>
      <c r="G520" s="29"/>
    </row>
    <row r="521" spans="2:7" x14ac:dyDescent="0.2">
      <c r="B521" s="20"/>
      <c r="C521" s="23"/>
      <c r="E521" s="10"/>
      <c r="F521" s="27"/>
      <c r="G521" s="29"/>
    </row>
    <row r="522" spans="2:7" x14ac:dyDescent="0.2">
      <c r="B522" s="20"/>
      <c r="C522" s="23"/>
      <c r="E522" s="10"/>
      <c r="F522" s="27"/>
      <c r="G522" s="29"/>
    </row>
    <row r="523" spans="2:7" x14ac:dyDescent="0.2">
      <c r="B523" s="20"/>
      <c r="C523" s="23"/>
      <c r="E523" s="10"/>
      <c r="F523" s="27"/>
      <c r="G523" s="29"/>
    </row>
    <row r="524" spans="2:7" x14ac:dyDescent="0.2">
      <c r="B524" s="20"/>
      <c r="C524" s="23"/>
      <c r="E524" s="10"/>
      <c r="F524" s="27"/>
      <c r="G524" s="29"/>
    </row>
    <row r="525" spans="2:7" x14ac:dyDescent="0.2">
      <c r="B525" s="20"/>
      <c r="C525" s="23"/>
      <c r="E525" s="10"/>
      <c r="F525" s="27"/>
      <c r="G525" s="29"/>
    </row>
    <row r="526" spans="2:7" x14ac:dyDescent="0.2">
      <c r="B526" s="20"/>
      <c r="C526" s="23"/>
      <c r="E526" s="10"/>
      <c r="F526" s="27"/>
      <c r="G526" s="29"/>
    </row>
    <row r="527" spans="2:7" x14ac:dyDescent="0.2">
      <c r="B527" s="20"/>
      <c r="C527" s="23"/>
      <c r="E527" s="10"/>
      <c r="F527" s="27"/>
      <c r="G527" s="29"/>
    </row>
    <row r="528" spans="2:7" x14ac:dyDescent="0.2">
      <c r="B528" s="20"/>
      <c r="C528" s="23"/>
      <c r="E528" s="10"/>
      <c r="F528" s="27"/>
      <c r="G528" s="29"/>
    </row>
    <row r="529" spans="2:7" x14ac:dyDescent="0.2">
      <c r="B529" s="20"/>
      <c r="C529" s="23"/>
      <c r="E529" s="10"/>
      <c r="F529" s="27"/>
      <c r="G529" s="29"/>
    </row>
    <row r="530" spans="2:7" x14ac:dyDescent="0.2">
      <c r="B530" s="20"/>
      <c r="C530" s="23"/>
      <c r="E530" s="10"/>
      <c r="F530" s="27"/>
      <c r="G530" s="29"/>
    </row>
    <row r="531" spans="2:7" x14ac:dyDescent="0.2">
      <c r="B531" s="20"/>
      <c r="C531" s="23"/>
      <c r="D531" s="15"/>
      <c r="E531" s="10"/>
      <c r="F531" s="27"/>
      <c r="G531" s="29"/>
    </row>
    <row r="532" spans="2:7" x14ac:dyDescent="0.2">
      <c r="B532" s="20"/>
      <c r="C532" s="23"/>
      <c r="E532" s="10"/>
      <c r="F532" s="27"/>
      <c r="G532" s="29"/>
    </row>
    <row r="533" spans="2:7" x14ac:dyDescent="0.2">
      <c r="B533" s="20"/>
      <c r="C533" s="23"/>
      <c r="E533" s="10"/>
      <c r="F533" s="27"/>
      <c r="G533" s="29"/>
    </row>
    <row r="534" spans="2:7" x14ac:dyDescent="0.2">
      <c r="B534" s="20"/>
      <c r="C534" s="23"/>
      <c r="E534" s="10"/>
      <c r="F534" s="27"/>
      <c r="G534" s="29"/>
    </row>
    <row r="535" spans="2:7" x14ac:dyDescent="0.2">
      <c r="B535" s="20"/>
      <c r="C535" s="23"/>
      <c r="D535" s="17"/>
      <c r="E535" s="10"/>
      <c r="F535" s="27"/>
      <c r="G535" s="29"/>
    </row>
    <row r="536" spans="2:7" x14ac:dyDescent="0.2">
      <c r="B536" s="20"/>
      <c r="C536" s="23"/>
      <c r="E536" s="10"/>
      <c r="F536" s="27"/>
      <c r="G536" s="29"/>
    </row>
    <row r="537" spans="2:7" x14ac:dyDescent="0.2">
      <c r="B537" s="20"/>
      <c r="C537" s="23"/>
      <c r="D537" s="17"/>
      <c r="E537" s="10"/>
      <c r="F537" s="27"/>
      <c r="G537" s="29"/>
    </row>
    <row r="538" spans="2:7" x14ac:dyDescent="0.2">
      <c r="B538" s="20"/>
      <c r="C538" s="23"/>
      <c r="E538" s="10"/>
      <c r="F538" s="27"/>
      <c r="G538" s="29"/>
    </row>
    <row r="539" spans="2:7" x14ac:dyDescent="0.2">
      <c r="B539" s="20"/>
      <c r="C539" s="23"/>
      <c r="E539" s="10"/>
      <c r="F539" s="27"/>
      <c r="G539" s="29"/>
    </row>
    <row r="540" spans="2:7" x14ac:dyDescent="0.2">
      <c r="B540" s="20"/>
      <c r="C540" s="23"/>
      <c r="E540" s="10"/>
      <c r="F540" s="27"/>
      <c r="G540" s="29"/>
    </row>
    <row r="541" spans="2:7" x14ac:dyDescent="0.2">
      <c r="B541" s="20"/>
      <c r="C541" s="23"/>
      <c r="E541" s="10"/>
      <c r="F541" s="27"/>
      <c r="G541" s="29"/>
    </row>
    <row r="542" spans="2:7" x14ac:dyDescent="0.2">
      <c r="B542" s="20"/>
      <c r="C542" s="23"/>
      <c r="E542" s="10"/>
      <c r="F542" s="27"/>
      <c r="G542" s="29"/>
    </row>
    <row r="543" spans="2:7" x14ac:dyDescent="0.2">
      <c r="B543" s="20"/>
      <c r="C543" s="23"/>
      <c r="E543" s="10"/>
      <c r="F543" s="27"/>
      <c r="G543" s="29"/>
    </row>
    <row r="544" spans="2:7" x14ac:dyDescent="0.2">
      <c r="B544" s="20"/>
      <c r="C544" s="23"/>
      <c r="E544" s="10"/>
      <c r="F544" s="27"/>
      <c r="G544" s="29"/>
    </row>
    <row r="545" spans="2:7" x14ac:dyDescent="0.2">
      <c r="B545" s="20"/>
      <c r="C545" s="23"/>
      <c r="E545" s="10"/>
      <c r="F545" s="27"/>
      <c r="G545" s="29"/>
    </row>
    <row r="546" spans="2:7" x14ac:dyDescent="0.2">
      <c r="B546" s="20"/>
      <c r="C546" s="23"/>
      <c r="E546" s="10"/>
      <c r="F546" s="27"/>
      <c r="G546" s="29"/>
    </row>
    <row r="547" spans="2:7" x14ac:dyDescent="0.2">
      <c r="B547" s="20"/>
      <c r="C547" s="23"/>
      <c r="E547" s="10"/>
      <c r="F547" s="27"/>
      <c r="G547" s="29"/>
    </row>
    <row r="548" spans="2:7" x14ac:dyDescent="0.2">
      <c r="B548" s="20"/>
      <c r="C548" s="23"/>
      <c r="E548" s="10"/>
      <c r="F548" s="27"/>
      <c r="G548" s="29"/>
    </row>
    <row r="549" spans="2:7" x14ac:dyDescent="0.2">
      <c r="B549" s="20"/>
      <c r="C549" s="23"/>
      <c r="E549" s="10"/>
      <c r="F549" s="27"/>
      <c r="G549" s="29"/>
    </row>
    <row r="550" spans="2:7" x14ac:dyDescent="0.2">
      <c r="B550" s="20"/>
      <c r="C550" s="23"/>
      <c r="E550" s="10"/>
      <c r="F550" s="27"/>
      <c r="G550" s="29"/>
    </row>
    <row r="551" spans="2:7" x14ac:dyDescent="0.2">
      <c r="B551" s="20"/>
      <c r="C551" s="23"/>
      <c r="E551" s="10"/>
      <c r="F551" s="27"/>
      <c r="G551" s="29"/>
    </row>
    <row r="552" spans="2:7" x14ac:dyDescent="0.2">
      <c r="B552" s="20"/>
      <c r="C552" s="23"/>
      <c r="E552" s="10"/>
      <c r="F552" s="27"/>
      <c r="G552" s="29"/>
    </row>
    <row r="553" spans="2:7" x14ac:dyDescent="0.2">
      <c r="B553" s="20"/>
      <c r="C553" s="23"/>
      <c r="E553" s="10"/>
      <c r="F553" s="27"/>
      <c r="G553" s="29"/>
    </row>
    <row r="554" spans="2:7" x14ac:dyDescent="0.2">
      <c r="B554" s="20"/>
      <c r="C554" s="23"/>
      <c r="E554" s="10"/>
      <c r="F554" s="27"/>
      <c r="G554" s="29"/>
    </row>
    <row r="555" spans="2:7" x14ac:dyDescent="0.2">
      <c r="B555" s="20"/>
      <c r="C555" s="23"/>
      <c r="E555" s="10"/>
      <c r="F555" s="27"/>
      <c r="G555" s="29"/>
    </row>
    <row r="556" spans="2:7" x14ac:dyDescent="0.2">
      <c r="B556" s="20"/>
      <c r="C556" s="23"/>
      <c r="E556" s="10"/>
      <c r="F556" s="27"/>
      <c r="G556" s="29"/>
    </row>
    <row r="557" spans="2:7" x14ac:dyDescent="0.2">
      <c r="B557" s="20"/>
      <c r="C557" s="23"/>
      <c r="E557" s="10"/>
      <c r="F557" s="27"/>
      <c r="G557" s="29"/>
    </row>
    <row r="558" spans="2:7" x14ac:dyDescent="0.2">
      <c r="B558" s="20"/>
      <c r="C558" s="23"/>
      <c r="E558" s="10"/>
      <c r="F558" s="27"/>
      <c r="G558" s="29"/>
    </row>
    <row r="559" spans="2:7" x14ac:dyDescent="0.2">
      <c r="B559" s="20"/>
      <c r="C559" s="23"/>
      <c r="E559" s="10"/>
      <c r="F559" s="27"/>
      <c r="G559" s="29"/>
    </row>
    <row r="560" spans="2:7" x14ac:dyDescent="0.2">
      <c r="B560" s="20"/>
      <c r="C560" s="23"/>
      <c r="E560" s="10"/>
      <c r="F560" s="27"/>
      <c r="G560" s="29"/>
    </row>
    <row r="561" spans="2:7" x14ac:dyDescent="0.2">
      <c r="B561" s="20"/>
      <c r="C561" s="23"/>
      <c r="E561" s="10"/>
      <c r="F561" s="27"/>
      <c r="G561" s="29"/>
    </row>
    <row r="562" spans="2:7" x14ac:dyDescent="0.2">
      <c r="B562" s="20"/>
      <c r="C562" s="23"/>
      <c r="E562" s="10"/>
      <c r="F562" s="27"/>
      <c r="G562" s="29"/>
    </row>
    <row r="563" spans="2:7" x14ac:dyDescent="0.2">
      <c r="B563" s="20"/>
      <c r="C563" s="23"/>
      <c r="E563" s="10"/>
      <c r="F563" s="27"/>
      <c r="G563" s="29"/>
    </row>
    <row r="564" spans="2:7" x14ac:dyDescent="0.2">
      <c r="B564" s="20"/>
      <c r="C564" s="23"/>
      <c r="D564" s="17"/>
      <c r="E564" s="10"/>
      <c r="F564" s="27"/>
      <c r="G564" s="29"/>
    </row>
    <row r="565" spans="2:7" x14ac:dyDescent="0.2">
      <c r="B565" s="20"/>
      <c r="C565" s="23"/>
      <c r="D565" s="17"/>
      <c r="E565" s="10"/>
      <c r="F565" s="27"/>
      <c r="G565" s="29"/>
    </row>
    <row r="566" spans="2:7" x14ac:dyDescent="0.2">
      <c r="B566" s="20"/>
      <c r="C566" s="23"/>
      <c r="E566" s="10"/>
      <c r="F566" s="27"/>
      <c r="G566" s="29"/>
    </row>
    <row r="567" spans="2:7" x14ac:dyDescent="0.2">
      <c r="B567" s="20"/>
      <c r="C567" s="23"/>
      <c r="E567" s="10"/>
      <c r="F567" s="27"/>
      <c r="G567" s="29"/>
    </row>
    <row r="568" spans="2:7" x14ac:dyDescent="0.2">
      <c r="B568" s="20"/>
      <c r="C568" s="23"/>
      <c r="E568" s="10"/>
      <c r="F568" s="27"/>
      <c r="G568" s="29"/>
    </row>
    <row r="569" spans="2:7" x14ac:dyDescent="0.2">
      <c r="B569" s="20"/>
      <c r="C569" s="23"/>
      <c r="E569" s="10"/>
      <c r="F569" s="27"/>
      <c r="G569" s="29"/>
    </row>
    <row r="570" spans="2:7" x14ac:dyDescent="0.2">
      <c r="B570" s="20"/>
      <c r="C570" s="23"/>
      <c r="E570" s="10"/>
      <c r="F570" s="27"/>
      <c r="G570" s="29"/>
    </row>
    <row r="571" spans="2:7" x14ac:dyDescent="0.2">
      <c r="B571" s="20"/>
      <c r="C571" s="23"/>
      <c r="E571" s="10"/>
      <c r="F571" s="27"/>
      <c r="G571" s="29"/>
    </row>
    <row r="572" spans="2:7" x14ac:dyDescent="0.2">
      <c r="B572" s="20"/>
      <c r="C572" s="23"/>
      <c r="E572" s="10"/>
      <c r="F572" s="27"/>
      <c r="G572" s="29"/>
    </row>
    <row r="573" spans="2:7" x14ac:dyDescent="0.2">
      <c r="B573" s="20"/>
      <c r="C573" s="23"/>
      <c r="E573" s="10"/>
      <c r="F573" s="27"/>
      <c r="G573" s="29"/>
    </row>
    <row r="574" spans="2:7" x14ac:dyDescent="0.2">
      <c r="B574" s="20"/>
      <c r="C574" s="23"/>
      <c r="E574" s="10"/>
      <c r="F574" s="27"/>
      <c r="G574" s="29"/>
    </row>
    <row r="575" spans="2:7" x14ac:dyDescent="0.2">
      <c r="B575" s="20"/>
      <c r="C575" s="23"/>
      <c r="E575" s="10"/>
      <c r="F575" s="27"/>
      <c r="G575" s="29"/>
    </row>
    <row r="576" spans="2:7" x14ac:dyDescent="0.2">
      <c r="B576" s="20"/>
      <c r="C576" s="23"/>
      <c r="E576" s="10"/>
      <c r="F576" s="27"/>
      <c r="G576" s="29"/>
    </row>
    <row r="577" spans="2:7" x14ac:dyDescent="0.2">
      <c r="B577" s="20"/>
      <c r="C577" s="23"/>
      <c r="E577" s="10"/>
      <c r="F577" s="27"/>
      <c r="G577" s="29"/>
    </row>
    <row r="578" spans="2:7" x14ac:dyDescent="0.2">
      <c r="B578" s="20"/>
      <c r="C578" s="23"/>
      <c r="E578" s="10"/>
      <c r="F578" s="27"/>
      <c r="G578" s="29"/>
    </row>
    <row r="579" spans="2:7" x14ac:dyDescent="0.2">
      <c r="B579" s="20"/>
      <c r="C579" s="23"/>
      <c r="E579" s="10"/>
      <c r="F579" s="27"/>
      <c r="G579" s="29"/>
    </row>
    <row r="580" spans="2:7" x14ac:dyDescent="0.2">
      <c r="B580" s="20"/>
      <c r="C580" s="23"/>
      <c r="E580" s="10"/>
      <c r="F580" s="27"/>
      <c r="G580" s="29"/>
    </row>
    <row r="581" spans="2:7" x14ac:dyDescent="0.2">
      <c r="B581" s="20"/>
      <c r="C581" s="23"/>
      <c r="E581" s="10"/>
      <c r="F581" s="27"/>
      <c r="G581" s="29"/>
    </row>
    <row r="582" spans="2:7" x14ac:dyDescent="0.2">
      <c r="B582" s="20"/>
      <c r="C582" s="23"/>
      <c r="E582" s="10"/>
      <c r="F582" s="27"/>
      <c r="G582" s="29"/>
    </row>
    <row r="583" spans="2:7" x14ac:dyDescent="0.2">
      <c r="B583" s="20"/>
      <c r="C583" s="23"/>
      <c r="E583" s="10"/>
      <c r="F583" s="27"/>
      <c r="G583" s="29"/>
    </row>
    <row r="584" spans="2:7" x14ac:dyDescent="0.2">
      <c r="B584" s="20"/>
      <c r="C584" s="23"/>
      <c r="E584" s="10"/>
      <c r="F584" s="27"/>
      <c r="G584" s="29"/>
    </row>
    <row r="585" spans="2:7" x14ac:dyDescent="0.2">
      <c r="B585" s="20"/>
      <c r="C585" s="23"/>
      <c r="E585" s="10"/>
      <c r="F585" s="27"/>
      <c r="G585" s="29"/>
    </row>
    <row r="586" spans="2:7" x14ac:dyDescent="0.2">
      <c r="B586" s="20"/>
      <c r="C586" s="23"/>
      <c r="E586" s="10"/>
      <c r="F586" s="27"/>
      <c r="G586" s="29"/>
    </row>
    <row r="587" spans="2:7" x14ac:dyDescent="0.2">
      <c r="B587" s="20"/>
      <c r="C587" s="23"/>
      <c r="E587" s="10"/>
      <c r="F587" s="27"/>
      <c r="G587" s="29"/>
    </row>
    <row r="588" spans="2:7" x14ac:dyDescent="0.2">
      <c r="B588" s="20"/>
      <c r="C588" s="23"/>
      <c r="E588" s="10"/>
      <c r="F588" s="27"/>
      <c r="G588" s="29"/>
    </row>
    <row r="589" spans="2:7" x14ac:dyDescent="0.2">
      <c r="B589" s="20"/>
      <c r="C589" s="23"/>
      <c r="E589" s="10"/>
      <c r="F589" s="27"/>
      <c r="G589" s="29"/>
    </row>
    <row r="590" spans="2:7" x14ac:dyDescent="0.2">
      <c r="B590" s="20"/>
      <c r="C590" s="23"/>
      <c r="E590" s="10"/>
      <c r="F590" s="27"/>
      <c r="G590" s="29"/>
    </row>
    <row r="591" spans="2:7" x14ac:dyDescent="0.2">
      <c r="B591" s="20"/>
      <c r="C591" s="23"/>
      <c r="E591" s="10"/>
      <c r="F591" s="27"/>
      <c r="G591" s="29"/>
    </row>
    <row r="592" spans="2:7" x14ac:dyDescent="0.2">
      <c r="B592" s="20"/>
      <c r="C592" s="23"/>
      <c r="E592" s="10"/>
      <c r="F592" s="27"/>
      <c r="G592" s="29"/>
    </row>
    <row r="593" spans="2:7" x14ac:dyDescent="0.2">
      <c r="B593" s="20"/>
      <c r="C593" s="23"/>
      <c r="E593" s="10"/>
      <c r="F593" s="27"/>
      <c r="G593" s="29"/>
    </row>
    <row r="594" spans="2:7" x14ac:dyDescent="0.2">
      <c r="B594" s="20"/>
      <c r="C594" s="23"/>
      <c r="E594" s="10"/>
      <c r="F594" s="27"/>
      <c r="G594" s="29"/>
    </row>
    <row r="595" spans="2:7" x14ac:dyDescent="0.2">
      <c r="B595" s="20"/>
      <c r="C595" s="23"/>
      <c r="E595" s="10"/>
      <c r="F595" s="27"/>
      <c r="G595" s="29"/>
    </row>
    <row r="596" spans="2:7" x14ac:dyDescent="0.2">
      <c r="B596" s="20"/>
      <c r="C596" s="23"/>
      <c r="E596" s="10"/>
      <c r="F596" s="27"/>
      <c r="G596" s="29"/>
    </row>
    <row r="597" spans="2:7" x14ac:dyDescent="0.2">
      <c r="B597" s="20"/>
      <c r="C597" s="23"/>
      <c r="E597" s="10"/>
      <c r="F597" s="27"/>
      <c r="G597" s="29"/>
    </row>
    <row r="598" spans="2:7" x14ac:dyDescent="0.2">
      <c r="B598" s="20"/>
      <c r="C598" s="23"/>
      <c r="E598" s="10"/>
      <c r="F598" s="27"/>
      <c r="G598" s="29"/>
    </row>
    <row r="599" spans="2:7" x14ac:dyDescent="0.2">
      <c r="B599" s="20"/>
      <c r="C599" s="23"/>
      <c r="E599" s="10"/>
      <c r="F599" s="27"/>
      <c r="G599" s="29"/>
    </row>
    <row r="600" spans="2:7" x14ac:dyDescent="0.2">
      <c r="B600" s="20"/>
      <c r="C600" s="23"/>
      <c r="E600" s="10"/>
      <c r="F600" s="27"/>
      <c r="G600" s="29"/>
    </row>
    <row r="601" spans="2:7" x14ac:dyDescent="0.2">
      <c r="B601" s="20"/>
      <c r="C601" s="23"/>
      <c r="E601" s="10"/>
      <c r="F601" s="27"/>
      <c r="G601" s="29"/>
    </row>
    <row r="602" spans="2:7" x14ac:dyDescent="0.2">
      <c r="B602" s="20"/>
      <c r="C602" s="23"/>
      <c r="E602" s="10"/>
      <c r="F602" s="27"/>
      <c r="G602" s="29"/>
    </row>
    <row r="603" spans="2:7" x14ac:dyDescent="0.2">
      <c r="B603" s="20"/>
      <c r="C603" s="23"/>
      <c r="E603" s="10"/>
      <c r="F603" s="27"/>
      <c r="G603" s="29"/>
    </row>
    <row r="604" spans="2:7" x14ac:dyDescent="0.2">
      <c r="B604" s="20"/>
      <c r="C604" s="23"/>
      <c r="E604" s="10"/>
      <c r="F604" s="27"/>
      <c r="G604" s="29"/>
    </row>
    <row r="605" spans="2:7" x14ac:dyDescent="0.2">
      <c r="B605" s="20"/>
      <c r="C605" s="23"/>
      <c r="E605" s="10"/>
      <c r="F605" s="27"/>
      <c r="G605" s="29"/>
    </row>
    <row r="606" spans="2:7" x14ac:dyDescent="0.2">
      <c r="B606" s="20"/>
      <c r="C606" s="23"/>
      <c r="E606" s="10"/>
      <c r="F606" s="27"/>
      <c r="G606" s="29"/>
    </row>
    <row r="607" spans="2:7" x14ac:dyDescent="0.2">
      <c r="B607" s="20"/>
      <c r="C607" s="23"/>
      <c r="E607" s="10"/>
      <c r="F607" s="27"/>
      <c r="G607" s="29"/>
    </row>
    <row r="608" spans="2:7" x14ac:dyDescent="0.2">
      <c r="B608" s="20"/>
      <c r="C608" s="23"/>
      <c r="E608" s="10"/>
      <c r="F608" s="27"/>
      <c r="G608" s="29"/>
    </row>
    <row r="609" spans="2:7" x14ac:dyDescent="0.2">
      <c r="B609" s="20"/>
      <c r="C609" s="23"/>
      <c r="E609" s="10"/>
      <c r="F609" s="27"/>
      <c r="G609" s="29"/>
    </row>
    <row r="610" spans="2:7" x14ac:dyDescent="0.2">
      <c r="B610" s="20"/>
      <c r="C610" s="23"/>
      <c r="E610" s="10"/>
      <c r="F610" s="27"/>
      <c r="G610" s="29"/>
    </row>
    <row r="611" spans="2:7" x14ac:dyDescent="0.2">
      <c r="B611" s="20"/>
      <c r="C611" s="23"/>
      <c r="E611" s="10"/>
      <c r="F611" s="27"/>
      <c r="G611" s="29"/>
    </row>
    <row r="612" spans="2:7" x14ac:dyDescent="0.2">
      <c r="B612" s="20"/>
      <c r="C612" s="23"/>
      <c r="E612" s="10"/>
      <c r="F612" s="27"/>
      <c r="G612" s="29"/>
    </row>
    <row r="613" spans="2:7" x14ac:dyDescent="0.2">
      <c r="B613" s="20"/>
      <c r="C613" s="23"/>
      <c r="E613" s="10"/>
      <c r="F613" s="27"/>
      <c r="G613" s="29"/>
    </row>
    <row r="614" spans="2:7" x14ac:dyDescent="0.2">
      <c r="B614" s="20"/>
      <c r="C614" s="23"/>
      <c r="E614" s="10"/>
      <c r="F614" s="27"/>
      <c r="G614" s="29"/>
    </row>
    <row r="615" spans="2:7" x14ac:dyDescent="0.2">
      <c r="B615" s="20"/>
      <c r="C615" s="23"/>
      <c r="E615" s="10"/>
      <c r="F615" s="27"/>
      <c r="G615" s="29"/>
    </row>
    <row r="616" spans="2:7" x14ac:dyDescent="0.2">
      <c r="B616" s="20"/>
      <c r="C616" s="23"/>
      <c r="E616" s="10"/>
      <c r="F616" s="27"/>
      <c r="G616" s="29"/>
    </row>
    <row r="617" spans="2:7" x14ac:dyDescent="0.2">
      <c r="B617" s="20"/>
      <c r="C617" s="23"/>
      <c r="E617" s="10"/>
      <c r="F617" s="27"/>
      <c r="G617" s="29"/>
    </row>
    <row r="618" spans="2:7" x14ac:dyDescent="0.2">
      <c r="B618" s="20"/>
      <c r="C618" s="23"/>
      <c r="E618" s="10"/>
      <c r="F618" s="27"/>
      <c r="G618" s="29"/>
    </row>
    <row r="619" spans="2:7" x14ac:dyDescent="0.2">
      <c r="B619" s="20"/>
      <c r="C619" s="23"/>
      <c r="E619" s="10"/>
      <c r="F619" s="27"/>
      <c r="G619" s="29"/>
    </row>
    <row r="620" spans="2:7" x14ac:dyDescent="0.2">
      <c r="B620" s="20"/>
      <c r="C620" s="23"/>
      <c r="E620" s="10"/>
      <c r="F620" s="27"/>
      <c r="G620" s="29"/>
    </row>
    <row r="621" spans="2:7" x14ac:dyDescent="0.2">
      <c r="B621" s="20"/>
      <c r="C621" s="23"/>
      <c r="E621" s="10"/>
      <c r="F621" s="27"/>
      <c r="G621" s="29"/>
    </row>
    <row r="622" spans="2:7" x14ac:dyDescent="0.2">
      <c r="B622" s="20"/>
      <c r="C622" s="23"/>
      <c r="E622" s="10"/>
      <c r="F622" s="27"/>
      <c r="G622" s="29"/>
    </row>
    <row r="623" spans="2:7" x14ac:dyDescent="0.2">
      <c r="B623" s="20"/>
      <c r="C623" s="23"/>
      <c r="E623" s="10"/>
      <c r="F623" s="27"/>
      <c r="G623" s="29"/>
    </row>
    <row r="624" spans="2:7" x14ac:dyDescent="0.2">
      <c r="B624" s="20"/>
      <c r="C624" s="23"/>
      <c r="E624" s="10"/>
      <c r="F624" s="27"/>
      <c r="G624" s="29"/>
    </row>
    <row r="625" spans="2:7" x14ac:dyDescent="0.2">
      <c r="B625" s="20"/>
      <c r="C625" s="23"/>
      <c r="E625" s="10"/>
      <c r="F625" s="27"/>
      <c r="G625" s="29"/>
    </row>
    <row r="626" spans="2:7" x14ac:dyDescent="0.2">
      <c r="B626" s="20"/>
      <c r="C626" s="23"/>
      <c r="E626" s="10"/>
      <c r="F626" s="27"/>
      <c r="G626" s="29"/>
    </row>
    <row r="627" spans="2:7" x14ac:dyDescent="0.2">
      <c r="B627" s="20"/>
      <c r="C627" s="23"/>
      <c r="E627" s="10"/>
      <c r="F627" s="27"/>
      <c r="G627" s="29"/>
    </row>
    <row r="628" spans="2:7" x14ac:dyDescent="0.2">
      <c r="B628" s="20"/>
      <c r="C628" s="23"/>
      <c r="E628" s="10"/>
      <c r="F628" s="27"/>
      <c r="G628" s="29"/>
    </row>
    <row r="629" spans="2:7" x14ac:dyDescent="0.2">
      <c r="B629" s="20"/>
      <c r="C629" s="23"/>
      <c r="E629" s="10"/>
      <c r="F629" s="27"/>
      <c r="G629" s="29"/>
    </row>
    <row r="630" spans="2:7" x14ac:dyDescent="0.2">
      <c r="B630" s="20"/>
      <c r="C630" s="23"/>
      <c r="E630" s="10"/>
      <c r="F630" s="27"/>
      <c r="G630" s="29"/>
    </row>
    <row r="631" spans="2:7" x14ac:dyDescent="0.2">
      <c r="B631" s="20"/>
      <c r="C631" s="23"/>
      <c r="E631" s="10"/>
      <c r="F631" s="27"/>
      <c r="G631" s="29"/>
    </row>
    <row r="632" spans="2:7" x14ac:dyDescent="0.2">
      <c r="B632" s="20"/>
      <c r="C632" s="23"/>
      <c r="E632" s="10"/>
      <c r="F632" s="27"/>
      <c r="G632" s="29"/>
    </row>
    <row r="633" spans="2:7" x14ac:dyDescent="0.2">
      <c r="B633" s="20"/>
      <c r="C633" s="23"/>
      <c r="E633" s="10"/>
      <c r="F633" s="27"/>
      <c r="G633" s="29"/>
    </row>
    <row r="634" spans="2:7" x14ac:dyDescent="0.2">
      <c r="B634" s="20"/>
      <c r="C634" s="23"/>
      <c r="E634" s="10"/>
      <c r="F634" s="27"/>
      <c r="G634" s="29"/>
    </row>
    <row r="635" spans="2:7" x14ac:dyDescent="0.2">
      <c r="B635" s="20"/>
      <c r="C635" s="23"/>
      <c r="E635" s="10"/>
      <c r="F635" s="27"/>
      <c r="G635" s="29"/>
    </row>
    <row r="636" spans="2:7" x14ac:dyDescent="0.2">
      <c r="B636" s="20"/>
      <c r="C636" s="23"/>
      <c r="E636" s="10"/>
      <c r="F636" s="27"/>
      <c r="G636" s="29"/>
    </row>
    <row r="637" spans="2:7" x14ac:dyDescent="0.2">
      <c r="B637" s="20"/>
      <c r="C637" s="23"/>
      <c r="E637" s="10"/>
      <c r="F637" s="27"/>
      <c r="G637" s="29"/>
    </row>
    <row r="638" spans="2:7" x14ac:dyDescent="0.2">
      <c r="B638" s="20"/>
      <c r="C638" s="23"/>
      <c r="E638" s="10"/>
      <c r="F638" s="27"/>
      <c r="G638" s="29"/>
    </row>
    <row r="639" spans="2:7" x14ac:dyDescent="0.2">
      <c r="B639" s="20"/>
      <c r="C639" s="23"/>
      <c r="E639" s="10"/>
      <c r="F639" s="27"/>
      <c r="G639" s="29"/>
    </row>
    <row r="640" spans="2:7" x14ac:dyDescent="0.2">
      <c r="B640" s="20"/>
      <c r="C640" s="23"/>
      <c r="E640" s="10"/>
      <c r="F640" s="27"/>
      <c r="G640" s="29"/>
    </row>
    <row r="641" spans="2:7" x14ac:dyDescent="0.2">
      <c r="B641" s="20"/>
      <c r="C641" s="23"/>
      <c r="E641" s="10"/>
      <c r="F641" s="27"/>
      <c r="G641" s="29"/>
    </row>
    <row r="642" spans="2:7" x14ac:dyDescent="0.2">
      <c r="B642" s="20"/>
      <c r="C642" s="23"/>
      <c r="E642" s="10"/>
      <c r="F642" s="27"/>
      <c r="G642" s="29"/>
    </row>
    <row r="643" spans="2:7" x14ac:dyDescent="0.2">
      <c r="B643" s="20"/>
      <c r="C643" s="23"/>
      <c r="E643" s="10"/>
      <c r="F643" s="27"/>
      <c r="G643" s="29"/>
    </row>
    <row r="644" spans="2:7" x14ac:dyDescent="0.2">
      <c r="B644" s="20"/>
      <c r="C644" s="23"/>
      <c r="E644" s="10"/>
      <c r="F644" s="27"/>
      <c r="G644" s="29"/>
    </row>
    <row r="645" spans="2:7" x14ac:dyDescent="0.2">
      <c r="B645" s="20"/>
      <c r="C645" s="23"/>
      <c r="E645" s="10"/>
      <c r="F645" s="27"/>
      <c r="G645" s="29"/>
    </row>
    <row r="646" spans="2:7" x14ac:dyDescent="0.2">
      <c r="B646" s="20"/>
      <c r="C646" s="23"/>
      <c r="E646" s="10"/>
      <c r="F646" s="27"/>
      <c r="G646" s="29"/>
    </row>
    <row r="647" spans="2:7" x14ac:dyDescent="0.2">
      <c r="B647" s="20"/>
      <c r="C647" s="23"/>
      <c r="E647" s="10"/>
      <c r="F647" s="27"/>
      <c r="G647" s="29"/>
    </row>
    <row r="648" spans="2:7" x14ac:dyDescent="0.2">
      <c r="B648" s="20"/>
      <c r="C648" s="23"/>
      <c r="E648" s="10"/>
      <c r="F648" s="27"/>
      <c r="G648" s="29"/>
    </row>
    <row r="649" spans="2:7" x14ac:dyDescent="0.2">
      <c r="B649" s="20"/>
      <c r="C649" s="23"/>
      <c r="E649" s="10"/>
      <c r="F649" s="27"/>
      <c r="G649" s="29"/>
    </row>
    <row r="650" spans="2:7" x14ac:dyDescent="0.2">
      <c r="B650" s="20"/>
      <c r="C650" s="23"/>
      <c r="E650" s="10"/>
      <c r="F650" s="27"/>
      <c r="G650" s="29"/>
    </row>
    <row r="651" spans="2:7" x14ac:dyDescent="0.2">
      <c r="B651" s="20"/>
      <c r="C651" s="23"/>
      <c r="E651" s="10"/>
      <c r="F651" s="27"/>
      <c r="G651" s="29"/>
    </row>
    <row r="652" spans="2:7" x14ac:dyDescent="0.2">
      <c r="B652" s="20"/>
      <c r="C652" s="23"/>
      <c r="E652" s="10"/>
      <c r="F652" s="27"/>
      <c r="G652" s="29"/>
    </row>
    <row r="653" spans="2:7" x14ac:dyDescent="0.2">
      <c r="B653" s="20"/>
      <c r="C653" s="23"/>
      <c r="E653" s="10"/>
      <c r="F653" s="27"/>
      <c r="G653" s="29"/>
    </row>
    <row r="654" spans="2:7" x14ac:dyDescent="0.2">
      <c r="B654" s="20"/>
      <c r="C654" s="23"/>
      <c r="E654" s="10"/>
      <c r="F654" s="27"/>
      <c r="G654" s="29"/>
    </row>
    <row r="655" spans="2:7" x14ac:dyDescent="0.2">
      <c r="B655" s="20"/>
      <c r="C655" s="23"/>
      <c r="E655" s="10"/>
      <c r="F655" s="27"/>
      <c r="G655" s="29"/>
    </row>
    <row r="656" spans="2:7" x14ac:dyDescent="0.2">
      <c r="B656" s="20"/>
      <c r="C656" s="23"/>
      <c r="E656" s="10"/>
      <c r="F656" s="27"/>
      <c r="G656" s="29"/>
    </row>
    <row r="657" spans="2:7" x14ac:dyDescent="0.2">
      <c r="B657" s="20"/>
      <c r="C657" s="23"/>
      <c r="E657" s="10"/>
      <c r="F657" s="27"/>
      <c r="G657" s="29"/>
    </row>
    <row r="658" spans="2:7" x14ac:dyDescent="0.2">
      <c r="B658" s="20"/>
      <c r="C658" s="23"/>
      <c r="E658" s="10"/>
      <c r="F658" s="27"/>
      <c r="G658" s="29"/>
    </row>
    <row r="659" spans="2:7" x14ac:dyDescent="0.2">
      <c r="B659" s="20"/>
      <c r="C659" s="23"/>
      <c r="E659" s="10"/>
      <c r="F659" s="27"/>
      <c r="G659" s="29"/>
    </row>
    <row r="660" spans="2:7" x14ac:dyDescent="0.2">
      <c r="B660" s="20"/>
      <c r="C660" s="23"/>
      <c r="E660" s="10"/>
      <c r="F660" s="27"/>
      <c r="G660" s="29"/>
    </row>
    <row r="661" spans="2:7" x14ac:dyDescent="0.2">
      <c r="B661" s="20"/>
      <c r="C661" s="23"/>
      <c r="E661" s="10"/>
      <c r="F661" s="27"/>
      <c r="G661" s="29"/>
    </row>
    <row r="662" spans="2:7" x14ac:dyDescent="0.2">
      <c r="B662" s="20"/>
      <c r="C662" s="23"/>
      <c r="E662" s="10"/>
      <c r="F662" s="27"/>
      <c r="G662" s="29"/>
    </row>
    <row r="663" spans="2:7" x14ac:dyDescent="0.2">
      <c r="B663" s="20"/>
      <c r="C663" s="23"/>
      <c r="E663" s="10"/>
      <c r="F663" s="27"/>
      <c r="G663" s="29"/>
    </row>
    <row r="664" spans="2:7" x14ac:dyDescent="0.2">
      <c r="B664" s="20"/>
      <c r="C664" s="23"/>
      <c r="E664" s="10"/>
      <c r="F664" s="27"/>
      <c r="G664" s="29"/>
    </row>
    <row r="665" spans="2:7" x14ac:dyDescent="0.2">
      <c r="B665" s="20"/>
      <c r="C665" s="23"/>
      <c r="E665" s="10"/>
      <c r="F665" s="27"/>
      <c r="G665" s="29"/>
    </row>
    <row r="666" spans="2:7" x14ac:dyDescent="0.2">
      <c r="B666" s="20"/>
      <c r="C666" s="23"/>
      <c r="E666" s="10"/>
      <c r="F666" s="27"/>
      <c r="G666" s="29"/>
    </row>
    <row r="667" spans="2:7" x14ac:dyDescent="0.2">
      <c r="B667" s="20"/>
      <c r="C667" s="23"/>
      <c r="E667" s="10"/>
      <c r="F667" s="27"/>
      <c r="G667" s="29"/>
    </row>
    <row r="668" spans="2:7" x14ac:dyDescent="0.2">
      <c r="B668" s="20"/>
      <c r="C668" s="23"/>
      <c r="E668" s="10"/>
      <c r="F668" s="27"/>
      <c r="G668" s="29"/>
    </row>
    <row r="669" spans="2:7" x14ac:dyDescent="0.2">
      <c r="B669" s="20"/>
      <c r="C669" s="23"/>
      <c r="E669" s="10"/>
      <c r="F669" s="27"/>
      <c r="G669" s="29"/>
    </row>
    <row r="670" spans="2:7" x14ac:dyDescent="0.2">
      <c r="B670" s="20"/>
      <c r="C670" s="23"/>
      <c r="E670" s="10"/>
      <c r="F670" s="27"/>
      <c r="G670" s="29"/>
    </row>
    <row r="671" spans="2:7" x14ac:dyDescent="0.2">
      <c r="B671" s="20"/>
      <c r="C671" s="23"/>
      <c r="E671" s="10"/>
      <c r="F671" s="27"/>
      <c r="G671" s="29"/>
    </row>
    <row r="672" spans="2:7" x14ac:dyDescent="0.2">
      <c r="B672" s="20"/>
      <c r="C672" s="23"/>
      <c r="E672" s="10"/>
      <c r="F672" s="27"/>
      <c r="G672" s="29"/>
    </row>
    <row r="673" spans="2:7" x14ac:dyDescent="0.2">
      <c r="B673" s="20"/>
      <c r="C673" s="23"/>
      <c r="E673" s="10"/>
      <c r="F673" s="27"/>
      <c r="G673" s="29"/>
    </row>
    <row r="674" spans="2:7" x14ac:dyDescent="0.2">
      <c r="B674" s="20"/>
      <c r="C674" s="23"/>
      <c r="E674" s="10"/>
      <c r="F674" s="27"/>
      <c r="G674" s="29"/>
    </row>
    <row r="675" spans="2:7" x14ac:dyDescent="0.2">
      <c r="B675" s="20"/>
      <c r="C675" s="23"/>
      <c r="E675" s="10"/>
      <c r="F675" s="27"/>
      <c r="G675" s="29"/>
    </row>
    <row r="676" spans="2:7" x14ac:dyDescent="0.2">
      <c r="B676" s="20"/>
      <c r="C676" s="23"/>
      <c r="E676" s="10"/>
      <c r="F676" s="27"/>
      <c r="G676" s="29"/>
    </row>
    <row r="677" spans="2:7" x14ac:dyDescent="0.2">
      <c r="B677" s="20"/>
      <c r="C677" s="23"/>
      <c r="E677" s="10"/>
      <c r="F677" s="27"/>
      <c r="G677" s="29"/>
    </row>
    <row r="678" spans="2:7" x14ac:dyDescent="0.2">
      <c r="B678" s="20"/>
      <c r="C678" s="23"/>
      <c r="D678" s="17"/>
      <c r="E678" s="10"/>
      <c r="F678" s="27"/>
      <c r="G678" s="29"/>
    </row>
    <row r="679" spans="2:7" x14ac:dyDescent="0.2">
      <c r="B679" s="20"/>
      <c r="C679" s="23"/>
      <c r="E679" s="10"/>
      <c r="F679" s="27"/>
      <c r="G679" s="29"/>
    </row>
    <row r="680" spans="2:7" x14ac:dyDescent="0.2">
      <c r="B680" s="20"/>
      <c r="C680" s="23"/>
      <c r="E680" s="10"/>
      <c r="F680" s="27"/>
      <c r="G680" s="29"/>
    </row>
    <row r="681" spans="2:7" x14ac:dyDescent="0.2">
      <c r="B681" s="20"/>
      <c r="C681" s="23"/>
      <c r="D681" s="17"/>
      <c r="E681" s="10"/>
      <c r="F681" s="27"/>
      <c r="G681" s="29"/>
    </row>
    <row r="682" spans="2:7" x14ac:dyDescent="0.2">
      <c r="B682" s="20"/>
      <c r="C682" s="23"/>
      <c r="D682" s="17"/>
      <c r="E682" s="10"/>
      <c r="F682" s="27"/>
      <c r="G682" s="29"/>
    </row>
    <row r="683" spans="2:7" x14ac:dyDescent="0.2">
      <c r="B683" s="20"/>
      <c r="C683" s="23"/>
      <c r="E683" s="10"/>
      <c r="F683" s="27"/>
      <c r="G683" s="29"/>
    </row>
    <row r="684" spans="2:7" x14ac:dyDescent="0.2">
      <c r="B684" s="20"/>
      <c r="C684" s="23"/>
      <c r="E684" s="10"/>
      <c r="F684" s="27"/>
      <c r="G684" s="29"/>
    </row>
    <row r="685" spans="2:7" x14ac:dyDescent="0.2">
      <c r="B685" s="20"/>
      <c r="C685" s="23"/>
      <c r="E685" s="10"/>
      <c r="F685" s="27"/>
      <c r="G685" s="29"/>
    </row>
    <row r="686" spans="2:7" x14ac:dyDescent="0.2">
      <c r="B686" s="20"/>
      <c r="C686" s="23"/>
      <c r="E686" s="10"/>
      <c r="F686" s="27"/>
      <c r="G686" s="29"/>
    </row>
    <row r="687" spans="2:7" x14ac:dyDescent="0.2">
      <c r="B687" s="20"/>
      <c r="C687" s="23"/>
      <c r="E687" s="10"/>
      <c r="F687" s="27"/>
      <c r="G687" s="29"/>
    </row>
    <row r="688" spans="2:7" x14ac:dyDescent="0.2">
      <c r="B688" s="20"/>
      <c r="C688" s="23"/>
      <c r="E688" s="10"/>
      <c r="F688" s="27"/>
      <c r="G688" s="29"/>
    </row>
    <row r="689" spans="2:7" x14ac:dyDescent="0.2">
      <c r="B689" s="20"/>
      <c r="C689" s="23"/>
      <c r="E689" s="10"/>
      <c r="F689" s="27"/>
      <c r="G689" s="29"/>
    </row>
    <row r="690" spans="2:7" x14ac:dyDescent="0.2">
      <c r="B690" s="20"/>
      <c r="C690" s="23"/>
      <c r="E690" s="10"/>
      <c r="F690" s="27"/>
      <c r="G690" s="29"/>
    </row>
    <row r="691" spans="2:7" x14ac:dyDescent="0.2">
      <c r="B691" s="20"/>
      <c r="C691" s="23"/>
      <c r="E691" s="10"/>
      <c r="F691" s="27"/>
      <c r="G691" s="29"/>
    </row>
    <row r="692" spans="2:7" x14ac:dyDescent="0.2">
      <c r="B692" s="20"/>
      <c r="C692" s="23"/>
      <c r="E692" s="10"/>
      <c r="F692" s="27"/>
      <c r="G692" s="29"/>
    </row>
    <row r="693" spans="2:7" x14ac:dyDescent="0.2">
      <c r="B693" s="20"/>
      <c r="C693" s="23"/>
      <c r="E693" s="10"/>
      <c r="F693" s="27"/>
      <c r="G693" s="29"/>
    </row>
    <row r="694" spans="2:7" x14ac:dyDescent="0.2">
      <c r="B694" s="20"/>
      <c r="C694" s="23"/>
      <c r="E694" s="10"/>
      <c r="F694" s="27"/>
      <c r="G694" s="29"/>
    </row>
    <row r="695" spans="2:7" x14ac:dyDescent="0.2">
      <c r="B695" s="20"/>
      <c r="C695" s="23"/>
      <c r="E695" s="10"/>
      <c r="F695" s="27"/>
      <c r="G695" s="29"/>
    </row>
    <row r="696" spans="2:7" x14ac:dyDescent="0.2">
      <c r="B696" s="20"/>
      <c r="C696" s="23"/>
      <c r="E696" s="10"/>
      <c r="F696" s="27"/>
      <c r="G696" s="29"/>
    </row>
    <row r="697" spans="2:7" x14ac:dyDescent="0.2">
      <c r="B697" s="20"/>
      <c r="C697" s="23"/>
      <c r="E697" s="10"/>
      <c r="F697" s="27"/>
      <c r="G697" s="29"/>
    </row>
    <row r="698" spans="2:7" x14ac:dyDescent="0.2">
      <c r="B698" s="20"/>
      <c r="C698" s="23"/>
      <c r="E698" s="10"/>
      <c r="F698" s="27"/>
      <c r="G698" s="29"/>
    </row>
    <row r="699" spans="2:7" x14ac:dyDescent="0.2">
      <c r="B699" s="20"/>
      <c r="C699" s="23"/>
      <c r="E699" s="10"/>
      <c r="F699" s="27"/>
      <c r="G699" s="29"/>
    </row>
    <row r="700" spans="2:7" x14ac:dyDescent="0.2">
      <c r="B700" s="20"/>
      <c r="C700" s="23"/>
      <c r="E700" s="10"/>
      <c r="F700" s="27"/>
      <c r="G700" s="29"/>
    </row>
    <row r="701" spans="2:7" x14ac:dyDescent="0.2">
      <c r="B701" s="20"/>
      <c r="C701" s="23"/>
      <c r="E701" s="10"/>
      <c r="F701" s="27"/>
      <c r="G701" s="29"/>
    </row>
    <row r="702" spans="2:7" x14ac:dyDescent="0.2">
      <c r="B702" s="20"/>
      <c r="C702" s="23"/>
      <c r="E702" s="10"/>
      <c r="F702" s="27"/>
      <c r="G702" s="29"/>
    </row>
    <row r="703" spans="2:7" x14ac:dyDescent="0.2">
      <c r="B703" s="20"/>
      <c r="C703" s="23"/>
      <c r="E703" s="10"/>
      <c r="F703" s="27"/>
      <c r="G703" s="29"/>
    </row>
    <row r="704" spans="2:7" x14ac:dyDescent="0.2">
      <c r="B704" s="20"/>
      <c r="C704" s="23"/>
      <c r="E704" s="10"/>
      <c r="F704" s="27"/>
      <c r="G704" s="29"/>
    </row>
    <row r="705" spans="2:7" x14ac:dyDescent="0.2">
      <c r="B705" s="20"/>
      <c r="C705" s="23"/>
      <c r="E705" s="10"/>
      <c r="F705" s="27"/>
      <c r="G705" s="29"/>
    </row>
    <row r="706" spans="2:7" x14ac:dyDescent="0.2">
      <c r="B706" s="20"/>
      <c r="C706" s="23"/>
      <c r="E706" s="10"/>
      <c r="F706" s="27"/>
      <c r="G706" s="29"/>
    </row>
    <row r="707" spans="2:7" x14ac:dyDescent="0.2">
      <c r="B707" s="20"/>
      <c r="C707" s="23"/>
      <c r="E707" s="10"/>
      <c r="F707" s="27"/>
      <c r="G707" s="29"/>
    </row>
    <row r="708" spans="2:7" x14ac:dyDescent="0.2">
      <c r="B708" s="20"/>
      <c r="C708" s="23"/>
      <c r="E708" s="10"/>
      <c r="F708" s="27"/>
      <c r="G708" s="29"/>
    </row>
    <row r="709" spans="2:7" x14ac:dyDescent="0.2">
      <c r="B709" s="20"/>
      <c r="C709" s="23"/>
      <c r="E709" s="10"/>
      <c r="F709" s="27"/>
      <c r="G709" s="29"/>
    </row>
    <row r="710" spans="2:7" x14ac:dyDescent="0.2">
      <c r="B710" s="20"/>
      <c r="C710" s="23"/>
      <c r="E710" s="10"/>
      <c r="F710" s="27"/>
      <c r="G710" s="29"/>
    </row>
    <row r="711" spans="2:7" x14ac:dyDescent="0.2">
      <c r="B711" s="20"/>
      <c r="C711" s="23"/>
      <c r="E711" s="10"/>
      <c r="F711" s="27"/>
      <c r="G711" s="29"/>
    </row>
    <row r="712" spans="2:7" x14ac:dyDescent="0.2">
      <c r="B712" s="20"/>
      <c r="C712" s="23"/>
      <c r="E712" s="10"/>
      <c r="F712" s="27"/>
      <c r="G712" s="29"/>
    </row>
    <row r="713" spans="2:7" x14ac:dyDescent="0.2">
      <c r="B713" s="20"/>
      <c r="C713" s="23"/>
      <c r="E713" s="10"/>
      <c r="F713" s="27"/>
      <c r="G713" s="29"/>
    </row>
    <row r="714" spans="2:7" x14ac:dyDescent="0.2">
      <c r="B714" s="20"/>
      <c r="C714" s="23"/>
      <c r="E714" s="10"/>
      <c r="F714" s="27"/>
      <c r="G714" s="29"/>
    </row>
    <row r="715" spans="2:7" x14ac:dyDescent="0.2">
      <c r="B715" s="20"/>
      <c r="C715" s="23"/>
      <c r="E715" s="10"/>
      <c r="F715" s="27"/>
      <c r="G715" s="29"/>
    </row>
    <row r="716" spans="2:7" x14ac:dyDescent="0.2">
      <c r="B716" s="20"/>
      <c r="C716" s="23"/>
      <c r="E716" s="10"/>
      <c r="F716" s="27"/>
      <c r="G716" s="29"/>
    </row>
    <row r="717" spans="2:7" x14ac:dyDescent="0.2">
      <c r="B717" s="20"/>
      <c r="C717" s="23"/>
      <c r="E717" s="10"/>
      <c r="F717" s="27"/>
      <c r="G717" s="29"/>
    </row>
    <row r="718" spans="2:7" x14ac:dyDescent="0.2">
      <c r="B718" s="20"/>
      <c r="C718" s="23"/>
      <c r="E718" s="10"/>
      <c r="F718" s="27"/>
      <c r="G718" s="29"/>
    </row>
    <row r="719" spans="2:7" x14ac:dyDescent="0.2">
      <c r="B719" s="20"/>
      <c r="C719" s="23"/>
      <c r="E719" s="10"/>
      <c r="F719" s="27"/>
      <c r="G719" s="29"/>
    </row>
    <row r="720" spans="2:7" x14ac:dyDescent="0.2">
      <c r="B720" s="20"/>
      <c r="C720" s="23"/>
      <c r="E720" s="10"/>
      <c r="F720" s="27"/>
      <c r="G720" s="29"/>
    </row>
    <row r="721" spans="2:7" x14ac:dyDescent="0.2">
      <c r="B721" s="20"/>
      <c r="C721" s="23"/>
      <c r="E721" s="10"/>
      <c r="F721" s="27"/>
      <c r="G721" s="29"/>
    </row>
    <row r="722" spans="2:7" x14ac:dyDescent="0.2">
      <c r="B722" s="20"/>
      <c r="C722" s="23"/>
      <c r="E722" s="10"/>
      <c r="F722" s="27"/>
      <c r="G722" s="29"/>
    </row>
    <row r="723" spans="2:7" x14ac:dyDescent="0.2">
      <c r="B723" s="20"/>
      <c r="C723" s="23"/>
      <c r="D723" s="15"/>
      <c r="E723" s="10"/>
      <c r="F723" s="27"/>
      <c r="G723" s="29"/>
    </row>
    <row r="724" spans="2:7" x14ac:dyDescent="0.2">
      <c r="B724" s="20"/>
      <c r="C724" s="23"/>
      <c r="E724" s="10"/>
      <c r="F724" s="27"/>
      <c r="G724" s="29"/>
    </row>
    <row r="725" spans="2:7" x14ac:dyDescent="0.2">
      <c r="B725" s="20"/>
      <c r="C725" s="23"/>
      <c r="E725" s="10"/>
      <c r="F725" s="27"/>
      <c r="G725" s="29"/>
    </row>
    <row r="726" spans="2:7" x14ac:dyDescent="0.2">
      <c r="B726" s="20"/>
      <c r="C726" s="23"/>
      <c r="E726" s="10"/>
      <c r="F726" s="27"/>
      <c r="G726" s="29"/>
    </row>
    <row r="727" spans="2:7" x14ac:dyDescent="0.2">
      <c r="B727" s="20"/>
      <c r="C727" s="23"/>
      <c r="E727" s="10"/>
      <c r="F727" s="27"/>
      <c r="G727" s="29"/>
    </row>
    <row r="728" spans="2:7" x14ac:dyDescent="0.2">
      <c r="B728" s="20"/>
      <c r="C728" s="23"/>
      <c r="E728" s="10"/>
      <c r="F728" s="27"/>
      <c r="G728" s="29"/>
    </row>
    <row r="729" spans="2:7" x14ac:dyDescent="0.2">
      <c r="B729" s="20"/>
      <c r="C729" s="23"/>
      <c r="D729" s="14"/>
      <c r="E729" s="10"/>
      <c r="F729" s="27"/>
      <c r="G729" s="29"/>
    </row>
    <row r="730" spans="2:7" x14ac:dyDescent="0.2">
      <c r="B730" s="20"/>
      <c r="C730" s="23"/>
      <c r="E730" s="10"/>
      <c r="F730" s="27"/>
      <c r="G730" s="29"/>
    </row>
    <row r="731" spans="2:7" x14ac:dyDescent="0.2">
      <c r="B731" s="20"/>
      <c r="C731" s="23"/>
      <c r="D731" s="17"/>
      <c r="E731" s="10"/>
      <c r="F731" s="27"/>
      <c r="G731" s="29"/>
    </row>
    <row r="732" spans="2:7" x14ac:dyDescent="0.2">
      <c r="B732" s="20"/>
      <c r="C732" s="23"/>
      <c r="D732" s="17"/>
      <c r="E732" s="10"/>
      <c r="F732" s="27"/>
      <c r="G732" s="29"/>
    </row>
    <row r="733" spans="2:7" x14ac:dyDescent="0.2">
      <c r="B733" s="20"/>
      <c r="C733" s="23"/>
      <c r="E733" s="10"/>
      <c r="F733" s="27"/>
      <c r="G733" s="29"/>
    </row>
    <row r="734" spans="2:7" x14ac:dyDescent="0.2">
      <c r="B734" s="20"/>
      <c r="C734" s="23"/>
      <c r="E734" s="10"/>
      <c r="F734" s="27"/>
      <c r="G734" s="29"/>
    </row>
    <row r="735" spans="2:7" x14ac:dyDescent="0.2">
      <c r="B735" s="20"/>
      <c r="C735" s="23"/>
      <c r="E735" s="10"/>
      <c r="F735" s="27"/>
      <c r="G735" s="29"/>
    </row>
    <row r="736" spans="2:7" x14ac:dyDescent="0.2">
      <c r="B736" s="20"/>
      <c r="C736" s="23"/>
      <c r="E736" s="10"/>
      <c r="F736" s="27"/>
      <c r="G736" s="29"/>
    </row>
    <row r="737" spans="2:7" x14ac:dyDescent="0.2">
      <c r="B737" s="20"/>
      <c r="C737" s="23"/>
      <c r="E737" s="10"/>
      <c r="F737" s="27"/>
      <c r="G737" s="29"/>
    </row>
    <row r="738" spans="2:7" x14ac:dyDescent="0.2">
      <c r="B738" s="20"/>
      <c r="C738" s="23"/>
      <c r="E738" s="10"/>
      <c r="F738" s="27"/>
      <c r="G738" s="29"/>
    </row>
    <row r="739" spans="2:7" x14ac:dyDescent="0.2">
      <c r="B739" s="20"/>
      <c r="C739" s="23"/>
      <c r="E739" s="10"/>
      <c r="F739" s="27"/>
      <c r="G739" s="29"/>
    </row>
    <row r="740" spans="2:7" x14ac:dyDescent="0.2">
      <c r="B740" s="20"/>
      <c r="C740" s="23"/>
      <c r="E740" s="10"/>
      <c r="F740" s="27"/>
      <c r="G740" s="29"/>
    </row>
    <row r="741" spans="2:7" x14ac:dyDescent="0.2">
      <c r="B741" s="20"/>
      <c r="C741" s="23"/>
      <c r="E741" s="10"/>
      <c r="F741" s="27"/>
      <c r="G741" s="29"/>
    </row>
    <row r="742" spans="2:7" x14ac:dyDescent="0.2">
      <c r="B742" s="20"/>
      <c r="C742" s="23"/>
      <c r="E742" s="10"/>
      <c r="F742" s="27"/>
      <c r="G742" s="29"/>
    </row>
  </sheetData>
  <pageMargins left="0.75" right="0.75" top="1" bottom="1" header="0.5" footer="0.5"/>
  <pageSetup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5">
    <tabColor rgb="FF00B0F0"/>
    <pageSetUpPr autoPageBreaks="0"/>
  </sheetPr>
  <dimension ref="A1:M742"/>
  <sheetViews>
    <sheetView zoomScale="110" zoomScaleNormal="110" zoomScaleSheetLayoutView="100" workbookViewId="0">
      <pane ySplit="1" topLeftCell="A2" activePane="bottomLeft" state="frozen"/>
      <selection sqref="A1:H100"/>
      <selection pane="bottomLeft" sqref="A1:H100"/>
    </sheetView>
  </sheetViews>
  <sheetFormatPr defaultColWidth="19.85546875" defaultRowHeight="12.75" x14ac:dyDescent="0.2"/>
  <cols>
    <col min="1" max="1" width="17.28515625" style="8" bestFit="1" customWidth="1"/>
    <col min="2" max="2" width="11.140625" style="21" bestFit="1" customWidth="1"/>
    <col min="3" max="3" width="13.140625" style="24" bestFit="1" customWidth="1"/>
    <col min="4" max="4" width="9.5703125" style="9" bestFit="1" customWidth="1"/>
    <col min="5" max="5" width="5.28515625" style="18" bestFit="1" customWidth="1"/>
    <col min="6" max="6" width="11.140625" style="28" bestFit="1" customWidth="1"/>
    <col min="7" max="7" width="7.5703125" style="13" bestFit="1" customWidth="1"/>
    <col min="8" max="8" width="9" style="11" bestFit="1" customWidth="1"/>
    <col min="9" max="9" width="9.42578125" style="8" customWidth="1"/>
    <col min="10" max="10" width="19.85546875" style="8"/>
    <col min="11" max="11" width="9.5703125" style="44" bestFit="1" customWidth="1"/>
    <col min="12" max="12" width="11.85546875" style="44" bestFit="1" customWidth="1"/>
    <col min="13" max="13" width="9.85546875" style="50" customWidth="1"/>
    <col min="14" max="16384" width="19.85546875" style="8"/>
  </cols>
  <sheetData>
    <row r="1" spans="1:12" ht="25.5" x14ac:dyDescent="0.2">
      <c r="A1" s="3" t="s">
        <v>0</v>
      </c>
      <c r="B1" s="19" t="s">
        <v>1</v>
      </c>
      <c r="C1" s="22" t="s">
        <v>2</v>
      </c>
      <c r="D1" s="4" t="s">
        <v>3</v>
      </c>
      <c r="E1" s="5" t="s">
        <v>4</v>
      </c>
      <c r="F1" s="26" t="s">
        <v>5</v>
      </c>
      <c r="G1" s="6" t="s">
        <v>286</v>
      </c>
      <c r="H1" s="7" t="s">
        <v>285</v>
      </c>
      <c r="K1" s="49" t="s">
        <v>287</v>
      </c>
      <c r="L1" s="49" t="s">
        <v>288</v>
      </c>
    </row>
    <row r="2" spans="1:12" x14ac:dyDescent="0.2">
      <c r="A2" s="8" t="s">
        <v>169</v>
      </c>
      <c r="B2" s="20">
        <v>923123594</v>
      </c>
      <c r="C2" s="25">
        <v>5134605984</v>
      </c>
      <c r="D2" s="9">
        <v>39500</v>
      </c>
      <c r="E2" s="10">
        <f t="shared" ref="E2:E65" ca="1" si="0">DATEDIF(D2,TODAY(),"Y")</f>
        <v>13</v>
      </c>
      <c r="F2" s="27">
        <v>5</v>
      </c>
      <c r="G2" s="12">
        <v>41510</v>
      </c>
      <c r="H2" s="11">
        <v>42232</v>
      </c>
      <c r="K2" s="48">
        <v>42437</v>
      </c>
      <c r="L2" s="48">
        <v>42439</v>
      </c>
    </row>
    <row r="3" spans="1:12" x14ac:dyDescent="0.2">
      <c r="A3" s="8" t="s">
        <v>75</v>
      </c>
      <c r="B3" s="20">
        <v>280304785</v>
      </c>
      <c r="C3" s="25">
        <v>2025043141</v>
      </c>
      <c r="D3" s="9">
        <v>36707</v>
      </c>
      <c r="E3" s="10">
        <f t="shared" ca="1" si="0"/>
        <v>20</v>
      </c>
      <c r="F3" s="27">
        <v>4</v>
      </c>
      <c r="G3" s="12">
        <v>55627</v>
      </c>
      <c r="H3" s="11">
        <v>57691</v>
      </c>
      <c r="K3" s="48">
        <v>42438</v>
      </c>
      <c r="L3" s="48">
        <v>42442</v>
      </c>
    </row>
    <row r="4" spans="1:12" x14ac:dyDescent="0.2">
      <c r="A4" s="8" t="s">
        <v>178</v>
      </c>
      <c r="B4" s="20">
        <v>291715078</v>
      </c>
      <c r="C4" s="25">
        <v>3038294156</v>
      </c>
      <c r="D4" s="9">
        <v>38320</v>
      </c>
      <c r="E4" s="10">
        <f t="shared" ca="1" si="0"/>
        <v>16</v>
      </c>
      <c r="F4" s="27">
        <v>5</v>
      </c>
      <c r="G4" s="12">
        <v>88088</v>
      </c>
      <c r="H4" s="11">
        <v>89316</v>
      </c>
      <c r="K4" s="48">
        <v>42439</v>
      </c>
      <c r="L4" s="48">
        <v>42444</v>
      </c>
    </row>
    <row r="5" spans="1:12" x14ac:dyDescent="0.2">
      <c r="A5" s="8" t="s">
        <v>104</v>
      </c>
      <c r="B5" s="20">
        <v>260815239</v>
      </c>
      <c r="C5" s="25">
        <v>2131544288</v>
      </c>
      <c r="D5" s="9">
        <v>41927</v>
      </c>
      <c r="E5" s="10">
        <f t="shared" ca="1" si="0"/>
        <v>6</v>
      </c>
      <c r="F5" s="27">
        <v>3</v>
      </c>
      <c r="G5" s="12">
        <v>31266</v>
      </c>
      <c r="H5" s="11">
        <v>32427</v>
      </c>
      <c r="K5" s="48">
        <v>42440</v>
      </c>
      <c r="L5" s="48">
        <v>42443</v>
      </c>
    </row>
    <row r="6" spans="1:12" x14ac:dyDescent="0.2">
      <c r="A6" s="8" t="s">
        <v>145</v>
      </c>
      <c r="B6" s="20">
        <v>110726520</v>
      </c>
      <c r="C6" s="25">
        <v>7201408985</v>
      </c>
      <c r="D6" s="9">
        <v>38786</v>
      </c>
      <c r="E6" s="10">
        <f t="shared" ca="1" si="0"/>
        <v>15</v>
      </c>
      <c r="F6" s="27">
        <v>1</v>
      </c>
      <c r="G6" s="12">
        <v>50611</v>
      </c>
      <c r="H6" s="11">
        <v>53305</v>
      </c>
      <c r="K6" s="48">
        <v>42441</v>
      </c>
      <c r="L6" s="48">
        <v>42445</v>
      </c>
    </row>
    <row r="7" spans="1:12" x14ac:dyDescent="0.2">
      <c r="A7" s="8" t="s">
        <v>49</v>
      </c>
      <c r="B7" s="20">
        <v>475671127</v>
      </c>
      <c r="C7" s="25">
        <v>2127091949</v>
      </c>
      <c r="D7" s="9">
        <v>41971</v>
      </c>
      <c r="E7" s="10">
        <f t="shared" ca="1" si="0"/>
        <v>6</v>
      </c>
      <c r="F7" s="27">
        <v>5</v>
      </c>
      <c r="G7" s="12">
        <v>65285</v>
      </c>
      <c r="H7" s="11">
        <v>67707</v>
      </c>
      <c r="K7" s="48">
        <v>42444</v>
      </c>
      <c r="L7" s="48">
        <v>42447</v>
      </c>
    </row>
    <row r="8" spans="1:12" x14ac:dyDescent="0.2">
      <c r="A8" s="8" t="s">
        <v>134</v>
      </c>
      <c r="B8" s="20">
        <v>460412180</v>
      </c>
      <c r="C8" s="25">
        <v>2138367725</v>
      </c>
      <c r="D8" s="9">
        <v>41844</v>
      </c>
      <c r="E8" s="10">
        <f t="shared" ca="1" si="0"/>
        <v>6</v>
      </c>
      <c r="F8" s="27">
        <v>2</v>
      </c>
      <c r="G8" s="12">
        <v>11700</v>
      </c>
      <c r="H8" s="11">
        <v>12134</v>
      </c>
      <c r="K8" s="48">
        <v>42445</v>
      </c>
      <c r="L8" s="48">
        <v>42447</v>
      </c>
    </row>
    <row r="9" spans="1:12" x14ac:dyDescent="0.2">
      <c r="A9" s="8" t="s">
        <v>223</v>
      </c>
      <c r="B9" s="20">
        <v>575648597</v>
      </c>
      <c r="C9" s="25">
        <v>5416609693</v>
      </c>
      <c r="D9" s="9">
        <v>34876</v>
      </c>
      <c r="E9" s="10">
        <f t="shared" ca="1" si="0"/>
        <v>25</v>
      </c>
      <c r="F9" s="27">
        <v>5</v>
      </c>
      <c r="G9" s="12">
        <v>36555</v>
      </c>
      <c r="H9" s="11">
        <v>37912</v>
      </c>
      <c r="K9" s="48">
        <v>42446</v>
      </c>
      <c r="L9" s="48">
        <v>42451</v>
      </c>
    </row>
    <row r="10" spans="1:12" x14ac:dyDescent="0.2">
      <c r="A10" s="8" t="s">
        <v>79</v>
      </c>
      <c r="B10" s="20">
        <v>496260023</v>
      </c>
      <c r="C10" s="25">
        <v>7202636321</v>
      </c>
      <c r="D10" s="9">
        <v>40039</v>
      </c>
      <c r="E10" s="10">
        <f t="shared" ca="1" si="0"/>
        <v>11</v>
      </c>
      <c r="F10" s="27">
        <v>5</v>
      </c>
      <c r="G10" s="12">
        <v>77836</v>
      </c>
      <c r="H10" s="11">
        <v>80724</v>
      </c>
      <c r="K10" s="48">
        <v>42447</v>
      </c>
      <c r="L10" s="48">
        <v>42453</v>
      </c>
    </row>
    <row r="11" spans="1:12" x14ac:dyDescent="0.2">
      <c r="A11" s="8" t="s">
        <v>93</v>
      </c>
      <c r="B11" s="20">
        <v>132016163</v>
      </c>
      <c r="C11" s="25">
        <v>2027764351</v>
      </c>
      <c r="D11" s="9">
        <v>36802</v>
      </c>
      <c r="E11" s="10">
        <f t="shared" ca="1" si="0"/>
        <v>20</v>
      </c>
      <c r="F11" s="27">
        <v>3</v>
      </c>
      <c r="G11" s="12">
        <v>54186</v>
      </c>
      <c r="H11" s="11">
        <v>56197</v>
      </c>
      <c r="K11" s="48">
        <v>42448</v>
      </c>
      <c r="L11" s="48">
        <v>42452</v>
      </c>
    </row>
    <row r="12" spans="1:12" x14ac:dyDescent="0.2">
      <c r="A12" s="8" t="s">
        <v>206</v>
      </c>
      <c r="B12" s="20">
        <v>552528553</v>
      </c>
      <c r="C12" s="25">
        <v>2126503334</v>
      </c>
      <c r="D12" s="9">
        <v>36973</v>
      </c>
      <c r="E12" s="10">
        <f t="shared" ca="1" si="0"/>
        <v>20</v>
      </c>
      <c r="F12" s="27">
        <v>5</v>
      </c>
      <c r="G12" s="12">
        <v>98241</v>
      </c>
      <c r="H12" s="11">
        <v>101885</v>
      </c>
      <c r="K12" s="48">
        <v>42452</v>
      </c>
      <c r="L12" s="48">
        <v>42455</v>
      </c>
    </row>
    <row r="13" spans="1:12" x14ac:dyDescent="0.2">
      <c r="A13" s="8" t="s">
        <v>89</v>
      </c>
      <c r="B13" s="20">
        <v>283476654</v>
      </c>
      <c r="C13" s="25">
        <v>7206088101</v>
      </c>
      <c r="D13" s="9">
        <v>39448</v>
      </c>
      <c r="E13" s="10">
        <f t="shared" ca="1" si="0"/>
        <v>13</v>
      </c>
      <c r="F13" s="27">
        <v>1</v>
      </c>
      <c r="G13" s="12">
        <v>9781</v>
      </c>
      <c r="H13" s="11">
        <v>10144</v>
      </c>
      <c r="K13" s="48">
        <v>42453</v>
      </c>
      <c r="L13" s="48">
        <v>42456</v>
      </c>
    </row>
    <row r="14" spans="1:12" x14ac:dyDescent="0.2">
      <c r="A14" s="8" t="s">
        <v>179</v>
      </c>
      <c r="B14" s="20">
        <v>436693732</v>
      </c>
      <c r="C14" s="25">
        <v>2024618773</v>
      </c>
      <c r="D14" s="9">
        <v>36804</v>
      </c>
      <c r="E14" s="10">
        <f t="shared" ca="1" si="0"/>
        <v>20</v>
      </c>
      <c r="F14" s="27">
        <v>5</v>
      </c>
      <c r="G14" s="12">
        <v>85085</v>
      </c>
      <c r="H14" s="11">
        <v>88242</v>
      </c>
      <c r="K14" s="48">
        <v>42454</v>
      </c>
      <c r="L14" s="48">
        <v>42456</v>
      </c>
    </row>
    <row r="15" spans="1:12" x14ac:dyDescent="0.2">
      <c r="A15" s="8" t="s">
        <v>198</v>
      </c>
      <c r="B15" s="20">
        <v>800685434</v>
      </c>
      <c r="C15" s="25">
        <v>2121593705</v>
      </c>
      <c r="D15" s="9">
        <v>35293</v>
      </c>
      <c r="E15" s="10">
        <f t="shared" ca="1" si="0"/>
        <v>24</v>
      </c>
      <c r="F15" s="27">
        <v>1</v>
      </c>
      <c r="G15" s="12">
        <v>67540</v>
      </c>
      <c r="H15" s="11">
        <v>70046</v>
      </c>
      <c r="K15" s="48">
        <v>42457</v>
      </c>
      <c r="L15" s="48">
        <v>42462</v>
      </c>
    </row>
    <row r="16" spans="1:12" x14ac:dyDescent="0.2">
      <c r="A16" s="8" t="s">
        <v>186</v>
      </c>
      <c r="B16" s="20">
        <v>272659955</v>
      </c>
      <c r="C16" s="25">
        <v>3123986051</v>
      </c>
      <c r="D16" s="9">
        <v>37232</v>
      </c>
      <c r="E16" s="10">
        <f t="shared" ca="1" si="0"/>
        <v>19</v>
      </c>
      <c r="F16" s="27">
        <v>4</v>
      </c>
      <c r="G16" s="12">
        <v>29161</v>
      </c>
      <c r="H16" s="11">
        <v>30243</v>
      </c>
      <c r="K16" s="43"/>
    </row>
    <row r="17" spans="1:8" x14ac:dyDescent="0.2">
      <c r="A17" s="8" t="s">
        <v>86</v>
      </c>
      <c r="B17" s="20">
        <v>867671341</v>
      </c>
      <c r="C17" s="25">
        <v>5136532463</v>
      </c>
      <c r="D17" s="9">
        <v>37910</v>
      </c>
      <c r="E17" s="10">
        <f t="shared" ca="1" si="0"/>
        <v>17</v>
      </c>
      <c r="F17" s="27">
        <v>5</v>
      </c>
      <c r="G17" s="12">
        <v>52382</v>
      </c>
      <c r="H17" s="11">
        <v>54326</v>
      </c>
    </row>
    <row r="18" spans="1:8" x14ac:dyDescent="0.2">
      <c r="A18" s="8" t="s">
        <v>74</v>
      </c>
      <c r="B18" s="20">
        <v>917714039</v>
      </c>
      <c r="C18" s="25">
        <v>5418252392</v>
      </c>
      <c r="D18" s="9">
        <v>41973</v>
      </c>
      <c r="E18" s="10">
        <f t="shared" ca="1" si="0"/>
        <v>6</v>
      </c>
      <c r="F18" s="27">
        <v>5</v>
      </c>
      <c r="G18" s="12">
        <v>92730</v>
      </c>
      <c r="H18" s="11">
        <v>96171</v>
      </c>
    </row>
    <row r="19" spans="1:8" x14ac:dyDescent="0.2">
      <c r="A19" s="8" t="s">
        <v>56</v>
      </c>
      <c r="B19" s="20">
        <v>698869555</v>
      </c>
      <c r="C19" s="25">
        <v>303463903</v>
      </c>
      <c r="D19" s="9">
        <v>36972</v>
      </c>
      <c r="E19" s="10">
        <f t="shared" ca="1" si="0"/>
        <v>20</v>
      </c>
      <c r="F19" s="27">
        <v>4</v>
      </c>
      <c r="G19" s="12">
        <v>53680</v>
      </c>
      <c r="H19" s="11">
        <v>55671</v>
      </c>
    </row>
    <row r="20" spans="1:8" x14ac:dyDescent="0.2">
      <c r="A20" s="8" t="s">
        <v>25</v>
      </c>
      <c r="B20" s="20">
        <v>750581894</v>
      </c>
      <c r="C20" s="25">
        <v>4158097539</v>
      </c>
      <c r="D20" s="9">
        <v>37130</v>
      </c>
      <c r="E20" s="10">
        <f t="shared" ca="1" si="0"/>
        <v>19</v>
      </c>
      <c r="F20" s="27">
        <v>1</v>
      </c>
      <c r="G20" s="12">
        <v>85745</v>
      </c>
      <c r="H20" s="11">
        <v>88926</v>
      </c>
    </row>
    <row r="21" spans="1:8" x14ac:dyDescent="0.2">
      <c r="A21" s="8" t="s">
        <v>236</v>
      </c>
      <c r="B21" s="20">
        <v>916944119</v>
      </c>
      <c r="C21" s="25">
        <v>5032375580</v>
      </c>
      <c r="D21" s="9">
        <v>37029</v>
      </c>
      <c r="E21" s="10">
        <f t="shared" ca="1" si="0"/>
        <v>19</v>
      </c>
      <c r="F21" s="27">
        <v>5</v>
      </c>
      <c r="G21" s="12">
        <v>43472</v>
      </c>
      <c r="H21" s="11">
        <v>45085</v>
      </c>
    </row>
    <row r="22" spans="1:8" x14ac:dyDescent="0.2">
      <c r="A22" s="8" t="s">
        <v>230</v>
      </c>
      <c r="B22" s="20">
        <v>105708355</v>
      </c>
      <c r="C22" s="25">
        <v>4152338778</v>
      </c>
      <c r="D22" s="9">
        <v>41375</v>
      </c>
      <c r="E22" s="10">
        <f t="shared" ca="1" si="0"/>
        <v>8</v>
      </c>
      <c r="F22" s="27">
        <v>5</v>
      </c>
      <c r="G22" s="12">
        <v>88968</v>
      </c>
      <c r="H22" s="11">
        <v>92269</v>
      </c>
    </row>
    <row r="23" spans="1:8" x14ac:dyDescent="0.2">
      <c r="A23" s="8" t="s">
        <v>135</v>
      </c>
      <c r="B23" s="20">
        <v>479081328</v>
      </c>
      <c r="C23" s="25">
        <v>3124137278</v>
      </c>
      <c r="D23" s="9">
        <v>34878</v>
      </c>
      <c r="E23" s="10">
        <f t="shared" ca="1" si="0"/>
        <v>25</v>
      </c>
      <c r="F23" s="27">
        <v>2</v>
      </c>
      <c r="G23" s="12">
        <v>43582</v>
      </c>
      <c r="H23" s="11">
        <v>45199</v>
      </c>
    </row>
    <row r="24" spans="1:8" x14ac:dyDescent="0.2">
      <c r="A24" s="8" t="s">
        <v>11</v>
      </c>
      <c r="B24" s="20">
        <v>290385638</v>
      </c>
      <c r="C24" s="25">
        <v>3125876028</v>
      </c>
      <c r="D24" s="9">
        <v>37287</v>
      </c>
      <c r="E24" s="10">
        <f t="shared" ca="1" si="0"/>
        <v>19</v>
      </c>
      <c r="F24" s="27">
        <v>2</v>
      </c>
      <c r="G24" s="12">
        <v>92620</v>
      </c>
      <c r="H24" s="11">
        <v>96056</v>
      </c>
    </row>
    <row r="25" spans="1:8" x14ac:dyDescent="0.2">
      <c r="A25" s="8" t="s">
        <v>147</v>
      </c>
      <c r="B25" s="20">
        <v>695198896</v>
      </c>
      <c r="C25" s="25">
        <v>3122581491</v>
      </c>
      <c r="D25" s="9">
        <v>36122</v>
      </c>
      <c r="E25" s="10">
        <f t="shared" ca="1" si="0"/>
        <v>22</v>
      </c>
      <c r="F25" s="27">
        <v>3</v>
      </c>
      <c r="G25" s="12">
        <v>27181</v>
      </c>
      <c r="H25" s="11">
        <v>28190</v>
      </c>
    </row>
    <row r="26" spans="1:8" x14ac:dyDescent="0.2">
      <c r="A26" s="8" t="s">
        <v>220</v>
      </c>
      <c r="B26" s="20">
        <v>148899089</v>
      </c>
      <c r="C26" s="25">
        <v>2128304204</v>
      </c>
      <c r="D26" s="9">
        <v>38237</v>
      </c>
      <c r="E26" s="10">
        <f t="shared" ca="1" si="0"/>
        <v>16</v>
      </c>
      <c r="F26" s="27">
        <v>5</v>
      </c>
      <c r="G26" s="12">
        <v>68046</v>
      </c>
      <c r="H26" s="11">
        <v>70571</v>
      </c>
    </row>
    <row r="27" spans="1:8" x14ac:dyDescent="0.2">
      <c r="A27" s="8" t="s">
        <v>175</v>
      </c>
      <c r="B27" s="20">
        <v>763182349</v>
      </c>
      <c r="C27" s="25">
        <v>5133262077</v>
      </c>
      <c r="D27" s="9">
        <v>35599</v>
      </c>
      <c r="E27" s="10">
        <f t="shared" ca="1" si="0"/>
        <v>23</v>
      </c>
      <c r="F27" s="27">
        <v>1</v>
      </c>
      <c r="G27" s="12">
        <v>51601</v>
      </c>
      <c r="H27" s="11">
        <v>53515</v>
      </c>
    </row>
    <row r="28" spans="1:8" x14ac:dyDescent="0.2">
      <c r="A28" s="8" t="s">
        <v>63</v>
      </c>
      <c r="B28" s="20">
        <v>136620388</v>
      </c>
      <c r="C28" s="25">
        <v>2123825834</v>
      </c>
      <c r="D28" s="9">
        <v>39654</v>
      </c>
      <c r="E28" s="10">
        <f t="shared" ca="1" si="0"/>
        <v>12</v>
      </c>
      <c r="F28" s="27">
        <v>4</v>
      </c>
      <c r="G28" s="12">
        <v>34012</v>
      </c>
      <c r="H28" s="11">
        <v>35274</v>
      </c>
    </row>
    <row r="29" spans="1:8" x14ac:dyDescent="0.2">
      <c r="A29" s="8" t="s">
        <v>197</v>
      </c>
      <c r="B29" s="20">
        <v>948195711</v>
      </c>
      <c r="C29" s="25">
        <v>5032683895</v>
      </c>
      <c r="D29" s="9">
        <v>39125</v>
      </c>
      <c r="E29" s="10">
        <f t="shared" ca="1" si="0"/>
        <v>14</v>
      </c>
      <c r="F29" s="27">
        <v>5</v>
      </c>
      <c r="G29" s="12">
        <v>65054</v>
      </c>
      <c r="H29" s="11">
        <v>67467</v>
      </c>
    </row>
    <row r="30" spans="1:8" x14ac:dyDescent="0.2">
      <c r="A30" s="8" t="s">
        <v>187</v>
      </c>
      <c r="B30" s="20">
        <v>597131266</v>
      </c>
      <c r="C30" s="25">
        <v>7204727385</v>
      </c>
      <c r="D30" s="9">
        <v>37935</v>
      </c>
      <c r="E30" s="16">
        <f t="shared" ca="1" si="0"/>
        <v>17</v>
      </c>
      <c r="F30" s="27">
        <v>5</v>
      </c>
      <c r="G30" s="12">
        <v>16764</v>
      </c>
      <c r="H30" s="11">
        <v>17386</v>
      </c>
    </row>
    <row r="31" spans="1:8" x14ac:dyDescent="0.2">
      <c r="A31" s="8" t="s">
        <v>164</v>
      </c>
      <c r="B31" s="20">
        <v>356110882</v>
      </c>
      <c r="C31" s="25">
        <v>513778776</v>
      </c>
      <c r="D31" s="9">
        <v>38050</v>
      </c>
      <c r="E31" s="10">
        <f t="shared" ca="1" si="0"/>
        <v>17</v>
      </c>
      <c r="F31" s="27">
        <v>2</v>
      </c>
      <c r="G31" s="12">
        <v>41536</v>
      </c>
      <c r="H31" s="11">
        <v>43077</v>
      </c>
    </row>
    <row r="32" spans="1:8" x14ac:dyDescent="0.2">
      <c r="A32" s="8" t="s">
        <v>199</v>
      </c>
      <c r="B32" s="20">
        <v>468953266</v>
      </c>
      <c r="C32" s="25">
        <v>3038356334</v>
      </c>
      <c r="D32" s="9">
        <v>37802</v>
      </c>
      <c r="E32" s="10">
        <f t="shared" ca="1" si="0"/>
        <v>17</v>
      </c>
      <c r="F32" s="27">
        <v>3</v>
      </c>
      <c r="G32" s="12">
        <v>36531</v>
      </c>
      <c r="H32" s="11">
        <v>37886</v>
      </c>
    </row>
    <row r="33" spans="1:8" x14ac:dyDescent="0.2">
      <c r="A33" s="8" t="s">
        <v>67</v>
      </c>
      <c r="B33" s="20">
        <v>113377726</v>
      </c>
      <c r="C33" s="25">
        <v>4152005810</v>
      </c>
      <c r="D33" s="9">
        <v>36689</v>
      </c>
      <c r="E33" s="10">
        <f t="shared" ca="1" si="0"/>
        <v>20</v>
      </c>
      <c r="F33" s="27">
        <v>3</v>
      </c>
      <c r="G33" s="12">
        <v>73755</v>
      </c>
      <c r="H33" s="11">
        <v>76492</v>
      </c>
    </row>
    <row r="34" spans="1:8" x14ac:dyDescent="0.2">
      <c r="A34" s="8" t="s">
        <v>141</v>
      </c>
      <c r="B34" s="20">
        <v>332302868</v>
      </c>
      <c r="C34" s="25">
        <v>2123938131</v>
      </c>
      <c r="D34" s="9">
        <v>41954</v>
      </c>
      <c r="E34" s="10">
        <f t="shared" ca="1" si="0"/>
        <v>6</v>
      </c>
      <c r="F34" s="27">
        <v>1</v>
      </c>
      <c r="G34" s="12">
        <v>50413</v>
      </c>
      <c r="H34" s="11">
        <v>52283</v>
      </c>
    </row>
    <row r="35" spans="1:8" x14ac:dyDescent="0.2">
      <c r="A35" s="8" t="s">
        <v>126</v>
      </c>
      <c r="B35" s="20">
        <v>161439267</v>
      </c>
      <c r="C35" s="25">
        <v>5036114005</v>
      </c>
      <c r="D35" s="9">
        <v>37560</v>
      </c>
      <c r="E35" s="10">
        <f t="shared" ca="1" si="0"/>
        <v>18</v>
      </c>
      <c r="F35" s="27">
        <v>4</v>
      </c>
      <c r="G35" s="12">
        <v>25718</v>
      </c>
      <c r="H35" s="11">
        <v>26672</v>
      </c>
    </row>
    <row r="36" spans="1:8" x14ac:dyDescent="0.2">
      <c r="A36" s="8" t="s">
        <v>161</v>
      </c>
      <c r="B36" s="20">
        <v>651995963</v>
      </c>
      <c r="C36" s="25">
        <v>5411191599</v>
      </c>
      <c r="D36" s="9">
        <v>41247</v>
      </c>
      <c r="E36" s="10">
        <f t="shared" ca="1" si="0"/>
        <v>8</v>
      </c>
      <c r="F36" s="27">
        <v>1</v>
      </c>
      <c r="G36" s="12">
        <v>39182</v>
      </c>
      <c r="H36" s="11">
        <v>40636</v>
      </c>
    </row>
    <row r="37" spans="1:8" x14ac:dyDescent="0.2">
      <c r="A37" s="8" t="s">
        <v>83</v>
      </c>
      <c r="B37" s="20">
        <v>765512793</v>
      </c>
      <c r="C37" s="25">
        <v>5418444054</v>
      </c>
      <c r="D37" s="9">
        <v>35869</v>
      </c>
      <c r="E37" s="10">
        <f t="shared" ca="1" si="0"/>
        <v>23</v>
      </c>
      <c r="F37" s="27">
        <v>5</v>
      </c>
      <c r="G37" s="12">
        <v>90178</v>
      </c>
      <c r="H37" s="11">
        <v>93523</v>
      </c>
    </row>
    <row r="38" spans="1:8" x14ac:dyDescent="0.2">
      <c r="A38" s="8" t="s">
        <v>154</v>
      </c>
      <c r="B38" s="20">
        <v>281005046</v>
      </c>
      <c r="C38" s="25">
        <v>2025228292</v>
      </c>
      <c r="D38" s="9">
        <v>35541</v>
      </c>
      <c r="E38" s="10">
        <f t="shared" ca="1" si="0"/>
        <v>24</v>
      </c>
      <c r="F38" s="27">
        <v>3</v>
      </c>
      <c r="G38" s="12">
        <v>91036</v>
      </c>
      <c r="H38" s="11">
        <v>94413</v>
      </c>
    </row>
    <row r="39" spans="1:8" x14ac:dyDescent="0.2">
      <c r="A39" s="8" t="s">
        <v>216</v>
      </c>
      <c r="B39" s="20">
        <v>337370590</v>
      </c>
      <c r="C39" s="25">
        <v>2027803578</v>
      </c>
      <c r="D39" s="9">
        <v>38068</v>
      </c>
      <c r="E39" s="10">
        <f t="shared" ca="1" si="0"/>
        <v>17</v>
      </c>
      <c r="F39" s="27">
        <v>2</v>
      </c>
      <c r="G39" s="12">
        <v>30118</v>
      </c>
      <c r="H39" s="11">
        <v>31236</v>
      </c>
    </row>
    <row r="40" spans="1:8" x14ac:dyDescent="0.2">
      <c r="A40" s="8" t="s">
        <v>213</v>
      </c>
      <c r="B40" s="20">
        <v>387131597</v>
      </c>
      <c r="C40" s="25">
        <v>5131549933</v>
      </c>
      <c r="D40" s="9">
        <v>39352</v>
      </c>
      <c r="E40" s="10">
        <f t="shared" ca="1" si="0"/>
        <v>13</v>
      </c>
      <c r="F40" s="27">
        <v>4</v>
      </c>
      <c r="G40" s="12">
        <v>67507</v>
      </c>
      <c r="H40" s="11">
        <v>70012</v>
      </c>
    </row>
    <row r="41" spans="1:8" x14ac:dyDescent="0.2">
      <c r="A41" s="8" t="s">
        <v>114</v>
      </c>
      <c r="B41" s="20">
        <v>462461365</v>
      </c>
      <c r="C41" s="25">
        <v>3123909820</v>
      </c>
      <c r="D41" s="9">
        <v>37421</v>
      </c>
      <c r="E41" s="10">
        <f t="shared" ca="1" si="0"/>
        <v>18</v>
      </c>
      <c r="F41" s="27">
        <v>3</v>
      </c>
      <c r="G41" s="12">
        <v>73073</v>
      </c>
      <c r="H41" s="11">
        <v>75785</v>
      </c>
    </row>
    <row r="42" spans="1:8" x14ac:dyDescent="0.2">
      <c r="A42" s="8" t="s">
        <v>201</v>
      </c>
      <c r="B42" s="20">
        <v>881242432</v>
      </c>
      <c r="C42" s="25">
        <v>4157288082</v>
      </c>
      <c r="D42" s="9">
        <v>35178</v>
      </c>
      <c r="E42" s="10">
        <f t="shared" ca="1" si="0"/>
        <v>25</v>
      </c>
      <c r="F42" s="27">
        <v>4</v>
      </c>
      <c r="G42" s="12">
        <v>85492</v>
      </c>
      <c r="H42" s="11">
        <v>88663</v>
      </c>
    </row>
    <row r="43" spans="1:8" x14ac:dyDescent="0.2">
      <c r="A43" s="8" t="s">
        <v>234</v>
      </c>
      <c r="B43" s="20">
        <v>616055292</v>
      </c>
      <c r="C43" s="25">
        <v>5031156902</v>
      </c>
      <c r="D43" s="9">
        <v>37097</v>
      </c>
      <c r="E43" s="10">
        <f t="shared" ca="1" si="0"/>
        <v>19</v>
      </c>
      <c r="F43" s="27">
        <v>3</v>
      </c>
      <c r="G43" s="12">
        <v>72611</v>
      </c>
      <c r="H43" s="11">
        <v>75305</v>
      </c>
    </row>
    <row r="44" spans="1:8" x14ac:dyDescent="0.2">
      <c r="A44" s="8" t="s">
        <v>202</v>
      </c>
      <c r="B44" s="20">
        <v>904497673</v>
      </c>
      <c r="C44" s="25">
        <v>5415804771</v>
      </c>
      <c r="D44" s="9">
        <v>40634</v>
      </c>
      <c r="E44" s="10">
        <f t="shared" ca="1" si="0"/>
        <v>10</v>
      </c>
      <c r="F44" s="27">
        <v>1</v>
      </c>
      <c r="G44" s="12">
        <v>30316</v>
      </c>
      <c r="H44" s="11">
        <v>31440</v>
      </c>
    </row>
    <row r="45" spans="1:8" x14ac:dyDescent="0.2">
      <c r="A45" s="8" t="s">
        <v>59</v>
      </c>
      <c r="B45" s="20">
        <v>232896341</v>
      </c>
      <c r="C45" s="25">
        <v>4154125146</v>
      </c>
      <c r="D45" s="9">
        <v>40245</v>
      </c>
      <c r="E45" s="10">
        <f t="shared" ca="1" si="0"/>
        <v>11</v>
      </c>
      <c r="F45" s="27">
        <v>4</v>
      </c>
      <c r="G45" s="12">
        <v>66066</v>
      </c>
      <c r="H45" s="11">
        <v>68517</v>
      </c>
    </row>
    <row r="46" spans="1:8" x14ac:dyDescent="0.2">
      <c r="A46" s="8" t="s">
        <v>159</v>
      </c>
      <c r="B46" s="20">
        <v>467030396</v>
      </c>
      <c r="C46" s="25">
        <v>2121999230</v>
      </c>
      <c r="D46" s="9">
        <v>39521</v>
      </c>
      <c r="E46" s="10">
        <f t="shared" ca="1" si="0"/>
        <v>13</v>
      </c>
      <c r="F46" s="27">
        <v>5</v>
      </c>
      <c r="G46" s="12">
        <v>85910</v>
      </c>
      <c r="H46" s="11">
        <v>89098</v>
      </c>
    </row>
    <row r="47" spans="1:8" x14ac:dyDescent="0.2">
      <c r="A47" s="8" t="s">
        <v>117</v>
      </c>
      <c r="B47" s="20">
        <v>361925033</v>
      </c>
      <c r="C47" s="25">
        <v>2135165289</v>
      </c>
      <c r="D47" s="9">
        <v>37205</v>
      </c>
      <c r="E47" s="10">
        <f t="shared" ca="1" si="0"/>
        <v>19</v>
      </c>
      <c r="F47" s="27">
        <v>5</v>
      </c>
      <c r="G47" s="12">
        <v>88132</v>
      </c>
      <c r="H47" s="11">
        <v>91401</v>
      </c>
    </row>
    <row r="48" spans="1:8" x14ac:dyDescent="0.2">
      <c r="A48" s="8" t="s">
        <v>105</v>
      </c>
      <c r="B48" s="20">
        <v>394876677</v>
      </c>
      <c r="C48" s="25">
        <v>3037312659</v>
      </c>
      <c r="D48" s="9">
        <v>35867</v>
      </c>
      <c r="E48" s="10">
        <f t="shared" ca="1" si="0"/>
        <v>23</v>
      </c>
      <c r="F48" s="27">
        <v>1</v>
      </c>
      <c r="G48" s="12">
        <v>50347</v>
      </c>
      <c r="H48" s="11">
        <v>52215</v>
      </c>
    </row>
    <row r="49" spans="1:8" x14ac:dyDescent="0.2">
      <c r="A49" s="8" t="s">
        <v>34</v>
      </c>
      <c r="B49" s="20">
        <v>171868795</v>
      </c>
      <c r="C49" s="25">
        <v>2133265407</v>
      </c>
      <c r="D49" s="9">
        <v>37861</v>
      </c>
      <c r="E49" s="10">
        <f t="shared" ca="1" si="0"/>
        <v>17</v>
      </c>
      <c r="F49" s="27">
        <v>5</v>
      </c>
      <c r="G49" s="12">
        <v>79299</v>
      </c>
      <c r="H49" s="11">
        <v>82242</v>
      </c>
    </row>
    <row r="50" spans="1:8" x14ac:dyDescent="0.2">
      <c r="A50" s="8" t="s">
        <v>207</v>
      </c>
      <c r="B50" s="20">
        <v>541365827</v>
      </c>
      <c r="C50" s="25">
        <v>2123327522</v>
      </c>
      <c r="D50" s="9">
        <v>36874</v>
      </c>
      <c r="E50" s="10">
        <f t="shared" ca="1" si="0"/>
        <v>20</v>
      </c>
      <c r="F50" s="27">
        <v>1</v>
      </c>
      <c r="G50" s="12">
        <v>94886</v>
      </c>
      <c r="H50" s="11">
        <v>98406</v>
      </c>
    </row>
    <row r="51" spans="1:8" x14ac:dyDescent="0.2">
      <c r="A51" s="8" t="s">
        <v>188</v>
      </c>
      <c r="B51" s="20">
        <v>647552282</v>
      </c>
      <c r="C51" s="25">
        <v>7203014821</v>
      </c>
      <c r="D51" s="9">
        <v>37987</v>
      </c>
      <c r="E51" s="10">
        <f t="shared" ca="1" si="0"/>
        <v>17</v>
      </c>
      <c r="F51" s="27">
        <v>2</v>
      </c>
      <c r="G51" s="12">
        <v>53009</v>
      </c>
      <c r="H51" s="11">
        <v>54976</v>
      </c>
    </row>
    <row r="52" spans="1:8" x14ac:dyDescent="0.2">
      <c r="A52" s="8" t="s">
        <v>157</v>
      </c>
      <c r="B52" s="20">
        <v>272036635</v>
      </c>
      <c r="C52" s="25">
        <v>3036698101</v>
      </c>
      <c r="D52" s="9">
        <v>42296</v>
      </c>
      <c r="E52" s="10">
        <f t="shared" ca="1" si="0"/>
        <v>5</v>
      </c>
      <c r="F52" s="27">
        <v>2</v>
      </c>
      <c r="G52" s="12">
        <v>48202</v>
      </c>
      <c r="H52" s="11">
        <v>49991</v>
      </c>
    </row>
    <row r="53" spans="1:8" x14ac:dyDescent="0.2">
      <c r="A53" s="8" t="s">
        <v>52</v>
      </c>
      <c r="B53" s="20">
        <v>330879921</v>
      </c>
      <c r="C53" s="25">
        <v>3032453666</v>
      </c>
      <c r="D53" s="9">
        <v>36812</v>
      </c>
      <c r="E53" s="10">
        <f t="shared" ca="1" si="0"/>
        <v>20</v>
      </c>
      <c r="F53" s="27">
        <v>1</v>
      </c>
      <c r="G53" s="12">
        <v>67263</v>
      </c>
      <c r="H53" s="11">
        <v>69759</v>
      </c>
    </row>
    <row r="54" spans="1:8" x14ac:dyDescent="0.2">
      <c r="A54" s="8" t="s">
        <v>138</v>
      </c>
      <c r="B54" s="20">
        <v>247276092</v>
      </c>
      <c r="C54" s="25">
        <v>5416443692</v>
      </c>
      <c r="D54" s="9">
        <v>37991</v>
      </c>
      <c r="E54" s="10">
        <f t="shared" ca="1" si="0"/>
        <v>17</v>
      </c>
      <c r="F54" s="27">
        <v>1</v>
      </c>
      <c r="G54" s="12">
        <v>67463</v>
      </c>
      <c r="H54" s="11">
        <v>69966</v>
      </c>
    </row>
    <row r="55" spans="1:8" x14ac:dyDescent="0.2">
      <c r="A55" s="8" t="s">
        <v>244</v>
      </c>
      <c r="B55" s="20">
        <v>244171882</v>
      </c>
      <c r="C55" s="25">
        <v>5037553017</v>
      </c>
      <c r="D55" s="9">
        <v>39188</v>
      </c>
      <c r="E55" s="10">
        <f t="shared" ca="1" si="0"/>
        <v>14</v>
      </c>
      <c r="F55" s="27">
        <v>2</v>
      </c>
      <c r="G55" s="12">
        <v>37191</v>
      </c>
      <c r="H55" s="11">
        <v>38570</v>
      </c>
    </row>
    <row r="56" spans="1:8" x14ac:dyDescent="0.2">
      <c r="A56" s="8" t="s">
        <v>77</v>
      </c>
      <c r="B56" s="20">
        <v>923665952</v>
      </c>
      <c r="C56" s="25">
        <v>4153967339</v>
      </c>
      <c r="D56" s="9">
        <v>35192</v>
      </c>
      <c r="E56" s="10">
        <f t="shared" ca="1" si="0"/>
        <v>24</v>
      </c>
      <c r="F56" s="27">
        <v>3</v>
      </c>
      <c r="G56" s="12">
        <v>33490</v>
      </c>
      <c r="H56" s="11">
        <v>34733</v>
      </c>
    </row>
    <row r="57" spans="1:8" x14ac:dyDescent="0.2">
      <c r="A57" s="8" t="s">
        <v>152</v>
      </c>
      <c r="B57" s="20">
        <v>878902154</v>
      </c>
      <c r="C57" s="25">
        <v>3032387348</v>
      </c>
      <c r="D57" s="9">
        <v>41641</v>
      </c>
      <c r="E57" s="10">
        <f t="shared" ca="1" si="0"/>
        <v>7</v>
      </c>
      <c r="F57" s="27">
        <v>2</v>
      </c>
      <c r="G57" s="12">
        <v>84084</v>
      </c>
      <c r="H57" s="11">
        <v>87204</v>
      </c>
    </row>
    <row r="58" spans="1:8" x14ac:dyDescent="0.2">
      <c r="A58" s="8" t="s">
        <v>205</v>
      </c>
      <c r="B58" s="20">
        <v>626648632</v>
      </c>
      <c r="C58" s="25">
        <v>3033386758</v>
      </c>
      <c r="D58" s="9">
        <v>38736</v>
      </c>
      <c r="E58" s="10">
        <f t="shared" ca="1" si="0"/>
        <v>15</v>
      </c>
      <c r="F58" s="27">
        <v>4</v>
      </c>
      <c r="G58" s="12">
        <v>31515</v>
      </c>
      <c r="H58" s="11">
        <v>32684</v>
      </c>
    </row>
    <row r="59" spans="1:8" x14ac:dyDescent="0.2">
      <c r="A59" s="8" t="s">
        <v>129</v>
      </c>
      <c r="B59" s="20">
        <v>495042805</v>
      </c>
      <c r="C59" s="25">
        <v>2025085320</v>
      </c>
      <c r="D59" s="9">
        <v>34901</v>
      </c>
      <c r="E59" s="10">
        <f t="shared" ca="1" si="0"/>
        <v>25</v>
      </c>
      <c r="F59" s="27">
        <v>3</v>
      </c>
      <c r="G59" s="12">
        <v>16183</v>
      </c>
      <c r="H59" s="11">
        <v>16784</v>
      </c>
    </row>
    <row r="60" spans="1:8" x14ac:dyDescent="0.2">
      <c r="A60" s="8" t="s">
        <v>200</v>
      </c>
      <c r="B60" s="20">
        <v>788451186</v>
      </c>
      <c r="C60" s="25">
        <v>3122263363</v>
      </c>
      <c r="D60" s="9">
        <v>35884</v>
      </c>
      <c r="E60" s="10">
        <f t="shared" ca="1" si="0"/>
        <v>23</v>
      </c>
      <c r="F60" s="27">
        <v>4</v>
      </c>
      <c r="G60" s="12">
        <v>29579</v>
      </c>
      <c r="H60" s="11">
        <v>30677</v>
      </c>
    </row>
    <row r="61" spans="1:8" x14ac:dyDescent="0.2">
      <c r="A61" s="8" t="s">
        <v>189</v>
      </c>
      <c r="B61" s="20">
        <v>843632637</v>
      </c>
      <c r="C61" s="25">
        <v>7201376854</v>
      </c>
      <c r="D61" s="9">
        <v>37078</v>
      </c>
      <c r="E61" s="10">
        <f t="shared" ca="1" si="0"/>
        <v>19</v>
      </c>
      <c r="F61" s="27">
        <v>3</v>
      </c>
      <c r="G61" s="12">
        <v>31086</v>
      </c>
      <c r="H61" s="11">
        <v>32239</v>
      </c>
    </row>
    <row r="62" spans="1:8" x14ac:dyDescent="0.2">
      <c r="A62" s="8" t="s">
        <v>123</v>
      </c>
      <c r="B62" s="20">
        <v>627494412</v>
      </c>
      <c r="C62" s="25">
        <v>5411276517</v>
      </c>
      <c r="D62" s="9">
        <v>38036</v>
      </c>
      <c r="E62" s="10">
        <f t="shared" ca="1" si="0"/>
        <v>17</v>
      </c>
      <c r="F62" s="27">
        <v>5</v>
      </c>
      <c r="G62" s="12">
        <v>75625</v>
      </c>
      <c r="H62" s="11">
        <v>78431</v>
      </c>
    </row>
    <row r="63" spans="1:8" x14ac:dyDescent="0.2">
      <c r="A63" s="8" t="s">
        <v>235</v>
      </c>
      <c r="B63" s="20">
        <v>685953695</v>
      </c>
      <c r="C63" s="25">
        <v>4151789943</v>
      </c>
      <c r="D63" s="9">
        <v>35613</v>
      </c>
      <c r="E63" s="10">
        <f t="shared" ca="1" si="0"/>
        <v>23</v>
      </c>
      <c r="F63" s="27">
        <v>3</v>
      </c>
      <c r="G63" s="12">
        <v>78837</v>
      </c>
      <c r="H63" s="11">
        <v>81762</v>
      </c>
    </row>
    <row r="64" spans="1:8" x14ac:dyDescent="0.2">
      <c r="A64" s="8" t="s">
        <v>182</v>
      </c>
      <c r="B64" s="20">
        <v>251824309</v>
      </c>
      <c r="C64" s="25">
        <v>2135627374</v>
      </c>
      <c r="D64" s="9">
        <v>37519</v>
      </c>
      <c r="E64" s="10">
        <f t="shared" ca="1" si="0"/>
        <v>18</v>
      </c>
      <c r="F64" s="27">
        <v>1</v>
      </c>
      <c r="G64" s="12">
        <v>86427</v>
      </c>
      <c r="H64" s="11">
        <v>89634</v>
      </c>
    </row>
    <row r="65" spans="1:8" x14ac:dyDescent="0.2">
      <c r="A65" s="8" t="s">
        <v>131</v>
      </c>
      <c r="B65" s="20">
        <v>877574472</v>
      </c>
      <c r="C65" s="25">
        <v>5033355100</v>
      </c>
      <c r="D65" s="9">
        <v>38416</v>
      </c>
      <c r="E65" s="10">
        <f t="shared" ca="1" si="0"/>
        <v>16</v>
      </c>
      <c r="F65" s="27">
        <v>3</v>
      </c>
      <c r="G65" s="12">
        <v>26015</v>
      </c>
      <c r="H65" s="11">
        <v>26980</v>
      </c>
    </row>
    <row r="66" spans="1:8" x14ac:dyDescent="0.2">
      <c r="A66" s="8" t="s">
        <v>185</v>
      </c>
      <c r="B66" s="20">
        <v>504735443</v>
      </c>
      <c r="C66" s="25">
        <v>5412433774</v>
      </c>
      <c r="D66" s="9">
        <v>37677</v>
      </c>
      <c r="E66" s="10">
        <f t="shared" ref="E66:E100" ca="1" si="1">DATEDIF(D66,TODAY(),"Y")</f>
        <v>18</v>
      </c>
      <c r="F66" s="27">
        <v>2</v>
      </c>
      <c r="G66" s="12">
        <v>70917</v>
      </c>
      <c r="H66" s="11">
        <v>73548</v>
      </c>
    </row>
    <row r="67" spans="1:8" x14ac:dyDescent="0.2">
      <c r="A67" s="8" t="s">
        <v>82</v>
      </c>
      <c r="B67" s="20">
        <v>991656720</v>
      </c>
      <c r="C67" s="25">
        <v>5034252315</v>
      </c>
      <c r="D67" s="9">
        <v>35804</v>
      </c>
      <c r="E67" s="10">
        <f t="shared" ca="1" si="1"/>
        <v>23</v>
      </c>
      <c r="F67" s="27">
        <v>4</v>
      </c>
      <c r="G67" s="12">
        <v>35024</v>
      </c>
      <c r="H67" s="11">
        <v>36323</v>
      </c>
    </row>
    <row r="68" spans="1:8" x14ac:dyDescent="0.2">
      <c r="A68" s="8" t="s">
        <v>122</v>
      </c>
      <c r="B68" s="20">
        <v>100432924</v>
      </c>
      <c r="C68" s="25">
        <v>5135981242</v>
      </c>
      <c r="D68" s="9">
        <v>35231</v>
      </c>
      <c r="E68" s="10">
        <f t="shared" ca="1" si="1"/>
        <v>24</v>
      </c>
      <c r="F68" s="27">
        <v>1</v>
      </c>
      <c r="G68" s="12">
        <v>49016</v>
      </c>
      <c r="H68" s="11">
        <v>50834</v>
      </c>
    </row>
    <row r="69" spans="1:8" x14ac:dyDescent="0.2">
      <c r="A69" s="8" t="s">
        <v>119</v>
      </c>
      <c r="B69" s="20">
        <v>758001890</v>
      </c>
      <c r="C69" s="25">
        <v>7202602559</v>
      </c>
      <c r="D69" s="9">
        <v>38078</v>
      </c>
      <c r="E69" s="10">
        <f t="shared" ca="1" si="1"/>
        <v>17</v>
      </c>
      <c r="F69" s="27">
        <v>2</v>
      </c>
      <c r="G69" s="12">
        <v>12172</v>
      </c>
      <c r="H69" s="11">
        <v>12624</v>
      </c>
    </row>
    <row r="70" spans="1:8" x14ac:dyDescent="0.2">
      <c r="A70" s="8" t="s">
        <v>42</v>
      </c>
      <c r="B70" s="20">
        <v>344090854</v>
      </c>
      <c r="C70" s="25">
        <v>5038159919</v>
      </c>
      <c r="D70" s="9">
        <v>40214</v>
      </c>
      <c r="E70" s="10">
        <f t="shared" ca="1" si="1"/>
        <v>11</v>
      </c>
      <c r="F70" s="27">
        <v>3</v>
      </c>
      <c r="G70" s="12">
        <v>63272</v>
      </c>
      <c r="H70" s="11">
        <v>65619</v>
      </c>
    </row>
    <row r="71" spans="1:8" x14ac:dyDescent="0.2">
      <c r="A71" s="8" t="s">
        <v>153</v>
      </c>
      <c r="B71" s="20">
        <v>759350847</v>
      </c>
      <c r="C71" s="25">
        <v>2138561612</v>
      </c>
      <c r="D71" s="9">
        <v>38221</v>
      </c>
      <c r="E71" s="10">
        <f t="shared" ca="1" si="1"/>
        <v>16</v>
      </c>
      <c r="F71" s="27">
        <v>3</v>
      </c>
      <c r="G71" s="12">
        <v>45777</v>
      </c>
      <c r="H71" s="11">
        <v>47475</v>
      </c>
    </row>
    <row r="72" spans="1:8" x14ac:dyDescent="0.2">
      <c r="A72" s="8" t="s">
        <v>165</v>
      </c>
      <c r="B72" s="20">
        <v>527185620</v>
      </c>
      <c r="C72" s="25">
        <v>2022163497</v>
      </c>
      <c r="D72" s="9">
        <v>36550</v>
      </c>
      <c r="E72" s="10">
        <f t="shared" ca="1" si="1"/>
        <v>21</v>
      </c>
      <c r="F72" s="27">
        <v>3</v>
      </c>
      <c r="G72" s="12">
        <v>35101</v>
      </c>
      <c r="H72" s="11">
        <v>36403</v>
      </c>
    </row>
    <row r="73" spans="1:8" x14ac:dyDescent="0.2">
      <c r="A73" s="8" t="s">
        <v>194</v>
      </c>
      <c r="B73" s="20">
        <v>722630791</v>
      </c>
      <c r="C73" s="25">
        <v>3126801348</v>
      </c>
      <c r="D73" s="9">
        <v>35067</v>
      </c>
      <c r="E73" s="10">
        <f t="shared" ca="1" si="1"/>
        <v>25</v>
      </c>
      <c r="F73" s="27">
        <v>4</v>
      </c>
      <c r="G73" s="12">
        <v>17617</v>
      </c>
      <c r="H73" s="11">
        <v>18270</v>
      </c>
    </row>
    <row r="74" spans="1:8" x14ac:dyDescent="0.2">
      <c r="A74" s="8" t="s">
        <v>142</v>
      </c>
      <c r="B74" s="20">
        <v>856215418</v>
      </c>
      <c r="C74" s="25">
        <v>5413575849</v>
      </c>
      <c r="D74" s="9">
        <v>41981</v>
      </c>
      <c r="E74" s="10">
        <f t="shared" ca="1" si="1"/>
        <v>6</v>
      </c>
      <c r="F74" s="27">
        <v>2</v>
      </c>
      <c r="G74" s="12">
        <v>78309</v>
      </c>
      <c r="H74" s="11">
        <v>81214</v>
      </c>
    </row>
    <row r="75" spans="1:8" x14ac:dyDescent="0.2">
      <c r="A75" s="8" t="s">
        <v>192</v>
      </c>
      <c r="B75" s="20">
        <v>351003584</v>
      </c>
      <c r="C75" s="25">
        <v>2136999991</v>
      </c>
      <c r="D75" s="9">
        <v>35712</v>
      </c>
      <c r="E75" s="10">
        <f t="shared" ca="1" si="1"/>
        <v>23</v>
      </c>
      <c r="F75" s="27">
        <v>3</v>
      </c>
      <c r="G75" s="12">
        <v>20521</v>
      </c>
      <c r="H75" s="11">
        <v>21282</v>
      </c>
    </row>
    <row r="76" spans="1:8" x14ac:dyDescent="0.2">
      <c r="A76" s="8" t="s">
        <v>240</v>
      </c>
      <c r="B76" s="20">
        <v>145240921</v>
      </c>
      <c r="C76" s="25">
        <v>7206555049</v>
      </c>
      <c r="D76" s="9">
        <v>35504</v>
      </c>
      <c r="E76" s="10">
        <f t="shared" ca="1" si="1"/>
        <v>24</v>
      </c>
      <c r="F76" s="27">
        <v>4</v>
      </c>
      <c r="G76" s="12">
        <v>78265</v>
      </c>
      <c r="H76" s="11">
        <v>81169</v>
      </c>
    </row>
    <row r="77" spans="1:8" x14ac:dyDescent="0.2">
      <c r="A77" s="8" t="s">
        <v>237</v>
      </c>
      <c r="B77" s="20">
        <v>938723321</v>
      </c>
      <c r="C77" s="25">
        <v>4156109756</v>
      </c>
      <c r="D77" s="9">
        <v>34830</v>
      </c>
      <c r="E77" s="10">
        <f t="shared" ca="1" si="1"/>
        <v>25</v>
      </c>
      <c r="F77" s="27">
        <v>5</v>
      </c>
      <c r="G77" s="12">
        <v>27297</v>
      </c>
      <c r="H77" s="11">
        <v>28310</v>
      </c>
    </row>
    <row r="78" spans="1:8" x14ac:dyDescent="0.2">
      <c r="A78" s="8" t="s">
        <v>130</v>
      </c>
      <c r="B78" s="20">
        <v>364404060</v>
      </c>
      <c r="C78" s="25">
        <v>5036742736</v>
      </c>
      <c r="D78" s="9">
        <v>36335</v>
      </c>
      <c r="E78" s="10">
        <f t="shared" ca="1" si="1"/>
        <v>21</v>
      </c>
      <c r="F78" s="27">
        <v>2</v>
      </c>
      <c r="G78" s="12">
        <v>14779</v>
      </c>
      <c r="H78" s="11">
        <v>15326</v>
      </c>
    </row>
    <row r="79" spans="1:8" x14ac:dyDescent="0.2">
      <c r="A79" s="8" t="s">
        <v>112</v>
      </c>
      <c r="B79" s="20">
        <v>625531462</v>
      </c>
      <c r="C79" s="25">
        <v>5135185281</v>
      </c>
      <c r="D79" s="9">
        <v>38695</v>
      </c>
      <c r="E79" s="10">
        <f t="shared" ca="1" si="1"/>
        <v>15</v>
      </c>
      <c r="F79" s="27">
        <v>1</v>
      </c>
      <c r="G79" s="12">
        <v>75361</v>
      </c>
      <c r="H79" s="11">
        <v>78157</v>
      </c>
    </row>
    <row r="80" spans="1:8" x14ac:dyDescent="0.2">
      <c r="A80" s="8" t="s">
        <v>226</v>
      </c>
      <c r="B80" s="20">
        <v>733358713</v>
      </c>
      <c r="C80" s="25">
        <v>503124785</v>
      </c>
      <c r="D80" s="9">
        <v>37392</v>
      </c>
      <c r="E80" s="10">
        <f t="shared" ca="1" si="1"/>
        <v>18</v>
      </c>
      <c r="F80" s="27">
        <v>2</v>
      </c>
      <c r="G80" s="12">
        <v>22031</v>
      </c>
      <c r="H80" s="11">
        <v>22848</v>
      </c>
    </row>
    <row r="81" spans="1:8" x14ac:dyDescent="0.2">
      <c r="A81" s="8" t="s">
        <v>211</v>
      </c>
      <c r="B81" s="20">
        <v>993867417</v>
      </c>
      <c r="C81" s="25">
        <v>5135261239</v>
      </c>
      <c r="D81" s="9">
        <v>41263</v>
      </c>
      <c r="E81" s="10">
        <f t="shared" ca="1" si="1"/>
        <v>8</v>
      </c>
      <c r="F81" s="27">
        <v>1</v>
      </c>
      <c r="G81" s="12">
        <v>92587</v>
      </c>
      <c r="H81" s="11">
        <v>96022</v>
      </c>
    </row>
    <row r="82" spans="1:8" x14ac:dyDescent="0.2">
      <c r="A82" s="8" t="s">
        <v>44</v>
      </c>
      <c r="B82" s="20">
        <v>868128171</v>
      </c>
      <c r="C82" s="25">
        <v>4152339143</v>
      </c>
      <c r="D82" s="9">
        <v>37246</v>
      </c>
      <c r="E82" s="10">
        <f t="shared" ca="1" si="1"/>
        <v>19</v>
      </c>
      <c r="F82" s="27">
        <v>1</v>
      </c>
      <c r="G82" s="12">
        <v>69597</v>
      </c>
      <c r="H82" s="11">
        <v>72179</v>
      </c>
    </row>
    <row r="83" spans="1:8" x14ac:dyDescent="0.2">
      <c r="A83" s="8" t="s">
        <v>20</v>
      </c>
      <c r="B83" s="20">
        <v>462995574</v>
      </c>
      <c r="C83" s="25">
        <v>3127687161</v>
      </c>
      <c r="D83" s="9">
        <v>37547</v>
      </c>
      <c r="E83" s="10">
        <f t="shared" ca="1" si="1"/>
        <v>18</v>
      </c>
      <c r="F83" s="27">
        <v>5</v>
      </c>
      <c r="G83" s="12">
        <v>32094</v>
      </c>
      <c r="H83" s="11">
        <v>33284</v>
      </c>
    </row>
    <row r="84" spans="1:8" x14ac:dyDescent="0.2">
      <c r="A84" s="8" t="s">
        <v>215</v>
      </c>
      <c r="B84" s="20">
        <v>917195248</v>
      </c>
      <c r="C84" s="25">
        <v>2134733288</v>
      </c>
      <c r="D84" s="9">
        <v>42031</v>
      </c>
      <c r="E84" s="10">
        <f t="shared" ca="1" si="1"/>
        <v>6</v>
      </c>
      <c r="F84" s="27">
        <v>2</v>
      </c>
      <c r="G84" s="12">
        <v>30232</v>
      </c>
      <c r="H84" s="11">
        <v>31354</v>
      </c>
    </row>
    <row r="85" spans="1:8" x14ac:dyDescent="0.2">
      <c r="A85" s="8" t="s">
        <v>51</v>
      </c>
      <c r="B85" s="20">
        <v>476243591</v>
      </c>
      <c r="C85" s="25">
        <v>2126052545</v>
      </c>
      <c r="D85" s="9">
        <v>34998</v>
      </c>
      <c r="E85" s="10">
        <f t="shared" ca="1" si="1"/>
        <v>25</v>
      </c>
      <c r="F85" s="27">
        <v>4</v>
      </c>
      <c r="G85" s="12">
        <v>96745</v>
      </c>
      <c r="H85" s="11">
        <v>100334</v>
      </c>
    </row>
    <row r="86" spans="1:8" x14ac:dyDescent="0.2">
      <c r="A86" s="8" t="s">
        <v>87</v>
      </c>
      <c r="B86" s="20">
        <v>366740174</v>
      </c>
      <c r="C86" s="25">
        <v>5133498222</v>
      </c>
      <c r="D86" s="9">
        <v>36593</v>
      </c>
      <c r="E86" s="10">
        <f t="shared" ca="1" si="1"/>
        <v>21</v>
      </c>
      <c r="F86" s="27">
        <v>1</v>
      </c>
      <c r="G86" s="12">
        <v>73612</v>
      </c>
      <c r="H86" s="11">
        <v>76343</v>
      </c>
    </row>
    <row r="87" spans="1:8" x14ac:dyDescent="0.2">
      <c r="A87" s="8" t="s">
        <v>195</v>
      </c>
      <c r="B87" s="20">
        <v>338977629</v>
      </c>
      <c r="C87" s="25">
        <v>2025478716</v>
      </c>
      <c r="D87" s="9">
        <v>35396</v>
      </c>
      <c r="E87" s="10">
        <f t="shared" ca="1" si="1"/>
        <v>24</v>
      </c>
      <c r="F87" s="27">
        <v>2</v>
      </c>
      <c r="G87" s="12">
        <v>70906</v>
      </c>
      <c r="H87" s="11">
        <v>73536</v>
      </c>
    </row>
    <row r="88" spans="1:8" x14ac:dyDescent="0.2">
      <c r="A88" s="8" t="s">
        <v>47</v>
      </c>
      <c r="B88" s="20">
        <v>975603308</v>
      </c>
      <c r="C88" s="25">
        <v>2133957018</v>
      </c>
      <c r="D88" s="9">
        <v>37690</v>
      </c>
      <c r="E88" s="10">
        <f t="shared" ca="1" si="1"/>
        <v>18</v>
      </c>
      <c r="F88" s="27">
        <v>3</v>
      </c>
      <c r="G88" s="12">
        <v>78881</v>
      </c>
      <c r="H88" s="11">
        <v>81807</v>
      </c>
    </row>
    <row r="89" spans="1:8" x14ac:dyDescent="0.2">
      <c r="A89" s="8" t="s">
        <v>111</v>
      </c>
      <c r="B89" s="20">
        <v>622274162</v>
      </c>
      <c r="C89" s="25">
        <v>2028627048</v>
      </c>
      <c r="D89" s="9">
        <v>39122</v>
      </c>
      <c r="E89" s="10">
        <f t="shared" ca="1" si="1"/>
        <v>14</v>
      </c>
      <c r="F89" s="27">
        <v>1</v>
      </c>
      <c r="G89" s="12">
        <v>33858</v>
      </c>
      <c r="H89" s="11">
        <v>35114</v>
      </c>
    </row>
    <row r="90" spans="1:8" x14ac:dyDescent="0.2">
      <c r="A90" s="8" t="s">
        <v>120</v>
      </c>
      <c r="B90" s="20">
        <v>186346711</v>
      </c>
      <c r="C90" s="25">
        <v>2137345539</v>
      </c>
      <c r="D90" s="9">
        <v>36619</v>
      </c>
      <c r="E90" s="10">
        <f t="shared" ca="1" si="1"/>
        <v>21</v>
      </c>
      <c r="F90" s="27">
        <v>5</v>
      </c>
      <c r="G90" s="12">
        <v>28413</v>
      </c>
      <c r="H90" s="11">
        <v>29467</v>
      </c>
    </row>
    <row r="91" spans="1:8" x14ac:dyDescent="0.2">
      <c r="A91" s="8" t="s">
        <v>177</v>
      </c>
      <c r="B91" s="20">
        <v>116869057</v>
      </c>
      <c r="C91" s="25">
        <v>2122924678</v>
      </c>
      <c r="D91" s="9">
        <v>41870</v>
      </c>
      <c r="E91" s="10">
        <f t="shared" ca="1" si="1"/>
        <v>6</v>
      </c>
      <c r="F91" s="27">
        <v>3</v>
      </c>
      <c r="G91" s="12">
        <v>31548</v>
      </c>
      <c r="H91" s="11">
        <v>32718</v>
      </c>
    </row>
    <row r="92" spans="1:8" x14ac:dyDescent="0.2">
      <c r="A92" s="8" t="s">
        <v>143</v>
      </c>
      <c r="B92" s="20">
        <v>144722757</v>
      </c>
      <c r="C92" s="25">
        <v>3127686976</v>
      </c>
      <c r="D92" s="9">
        <v>39791</v>
      </c>
      <c r="E92" s="10">
        <f t="shared" ca="1" si="1"/>
        <v>12</v>
      </c>
      <c r="F92" s="27">
        <v>4</v>
      </c>
      <c r="G92" s="12">
        <v>43230</v>
      </c>
      <c r="H92" s="11">
        <v>44834</v>
      </c>
    </row>
    <row r="93" spans="1:8" x14ac:dyDescent="0.2">
      <c r="A93" s="8" t="s">
        <v>116</v>
      </c>
      <c r="B93" s="20">
        <v>875920441</v>
      </c>
      <c r="C93" s="25">
        <v>5411124357</v>
      </c>
      <c r="D93" s="9">
        <v>40073</v>
      </c>
      <c r="E93" s="10">
        <f t="shared" ca="1" si="1"/>
        <v>11</v>
      </c>
      <c r="F93" s="27">
        <v>3</v>
      </c>
      <c r="G93" s="12">
        <v>53719</v>
      </c>
      <c r="H93" s="11">
        <v>55712</v>
      </c>
    </row>
    <row r="94" spans="1:8" x14ac:dyDescent="0.2">
      <c r="A94" s="8" t="s">
        <v>115</v>
      </c>
      <c r="B94" s="20">
        <v>323701315</v>
      </c>
      <c r="C94" s="25">
        <v>4155866679</v>
      </c>
      <c r="D94" s="9">
        <v>35439</v>
      </c>
      <c r="E94" s="10">
        <f t="shared" ca="1" si="1"/>
        <v>24</v>
      </c>
      <c r="F94" s="27">
        <v>4</v>
      </c>
      <c r="G94" s="12">
        <v>28809</v>
      </c>
      <c r="H94" s="11">
        <v>29878</v>
      </c>
    </row>
    <row r="95" spans="1:8" x14ac:dyDescent="0.2">
      <c r="A95" s="8" t="s">
        <v>140</v>
      </c>
      <c r="B95" s="20">
        <v>877122222</v>
      </c>
      <c r="C95" s="25">
        <v>5131391475</v>
      </c>
      <c r="D95" s="9">
        <v>38355</v>
      </c>
      <c r="E95" s="10">
        <f t="shared" ca="1" si="1"/>
        <v>16</v>
      </c>
      <c r="F95" s="27">
        <v>5</v>
      </c>
      <c r="G95" s="12">
        <v>63360</v>
      </c>
      <c r="H95" s="11">
        <v>65711</v>
      </c>
    </row>
    <row r="96" spans="1:8" x14ac:dyDescent="0.2">
      <c r="A96" s="8" t="s">
        <v>225</v>
      </c>
      <c r="B96" s="20">
        <v>339398339</v>
      </c>
      <c r="C96" s="25">
        <v>7204919418</v>
      </c>
      <c r="D96" s="9">
        <v>37639</v>
      </c>
      <c r="E96" s="10">
        <f t="shared" ca="1" si="1"/>
        <v>18</v>
      </c>
      <c r="F96" s="27">
        <v>1</v>
      </c>
      <c r="G96" s="12">
        <v>69663</v>
      </c>
      <c r="H96" s="11">
        <v>72248</v>
      </c>
    </row>
    <row r="97" spans="1:8" x14ac:dyDescent="0.2">
      <c r="A97" s="8" t="s">
        <v>174</v>
      </c>
      <c r="B97" s="20">
        <v>862698919</v>
      </c>
      <c r="C97" s="25">
        <v>3033451072</v>
      </c>
      <c r="D97" s="9">
        <v>41501</v>
      </c>
      <c r="E97" s="10">
        <f t="shared" ca="1" si="1"/>
        <v>7</v>
      </c>
      <c r="F97" s="27">
        <v>1</v>
      </c>
      <c r="G97" s="12">
        <v>59400</v>
      </c>
      <c r="H97" s="11">
        <v>61603</v>
      </c>
    </row>
    <row r="98" spans="1:8" x14ac:dyDescent="0.2">
      <c r="A98" s="8" t="s">
        <v>217</v>
      </c>
      <c r="B98" s="20">
        <v>126492342</v>
      </c>
      <c r="C98" s="25">
        <v>3128082183</v>
      </c>
      <c r="D98" s="9">
        <v>36837</v>
      </c>
      <c r="E98" s="10">
        <f t="shared" ca="1" si="1"/>
        <v>20</v>
      </c>
      <c r="F98" s="27">
        <v>5</v>
      </c>
      <c r="G98" s="12">
        <v>70829</v>
      </c>
      <c r="H98" s="11">
        <v>73457</v>
      </c>
    </row>
    <row r="99" spans="1:8" x14ac:dyDescent="0.2">
      <c r="A99" s="8" t="s">
        <v>113</v>
      </c>
      <c r="B99" s="20">
        <v>746497232</v>
      </c>
      <c r="C99" s="25">
        <v>2028561246</v>
      </c>
      <c r="D99" s="9">
        <v>41066</v>
      </c>
      <c r="E99" s="10">
        <f t="shared" ca="1" si="1"/>
        <v>8</v>
      </c>
      <c r="F99" s="27">
        <v>1</v>
      </c>
      <c r="G99" s="12">
        <v>50842</v>
      </c>
      <c r="H99" s="11">
        <v>52729</v>
      </c>
    </row>
    <row r="100" spans="1:8" x14ac:dyDescent="0.2">
      <c r="A100" s="8" t="s">
        <v>168</v>
      </c>
      <c r="B100" s="20">
        <v>816607187</v>
      </c>
      <c r="C100" s="25">
        <v>3035178498</v>
      </c>
      <c r="D100" s="9">
        <v>41927</v>
      </c>
      <c r="E100" s="10">
        <f t="shared" ca="1" si="1"/>
        <v>6</v>
      </c>
      <c r="F100" s="27">
        <v>3</v>
      </c>
      <c r="G100" s="12">
        <v>49786</v>
      </c>
      <c r="H100" s="11">
        <v>51633</v>
      </c>
    </row>
    <row r="101" spans="1:8" x14ac:dyDescent="0.2">
      <c r="B101" s="20"/>
      <c r="C101" s="23"/>
      <c r="E101" s="10"/>
      <c r="F101" s="27"/>
      <c r="G101" s="12"/>
    </row>
    <row r="102" spans="1:8" x14ac:dyDescent="0.2">
      <c r="B102" s="20"/>
      <c r="C102" s="23"/>
      <c r="E102" s="10"/>
      <c r="F102" s="27"/>
      <c r="G102" s="12"/>
    </row>
    <row r="103" spans="1:8" x14ac:dyDescent="0.2">
      <c r="B103" s="20"/>
      <c r="C103" s="23"/>
      <c r="E103" s="10"/>
      <c r="F103" s="27"/>
      <c r="G103" s="12"/>
    </row>
    <row r="104" spans="1:8" x14ac:dyDescent="0.2">
      <c r="B104" s="20"/>
      <c r="C104" s="23"/>
      <c r="E104" s="10"/>
      <c r="F104" s="27"/>
      <c r="G104" s="12"/>
    </row>
    <row r="105" spans="1:8" x14ac:dyDescent="0.2">
      <c r="B105" s="20"/>
      <c r="C105" s="23"/>
      <c r="E105" s="10"/>
      <c r="F105" s="27"/>
      <c r="G105" s="12"/>
    </row>
    <row r="106" spans="1:8" x14ac:dyDescent="0.2">
      <c r="B106" s="20"/>
      <c r="C106" s="23"/>
      <c r="E106" s="10"/>
      <c r="F106" s="27"/>
      <c r="G106" s="12"/>
    </row>
    <row r="107" spans="1:8" x14ac:dyDescent="0.2">
      <c r="B107" s="20"/>
      <c r="C107" s="23"/>
      <c r="E107" s="10"/>
      <c r="F107" s="27"/>
      <c r="G107" s="12"/>
    </row>
    <row r="108" spans="1:8" x14ac:dyDescent="0.2">
      <c r="B108" s="20"/>
      <c r="C108" s="23"/>
      <c r="E108" s="10"/>
      <c r="F108" s="27"/>
      <c r="G108" s="12"/>
    </row>
    <row r="109" spans="1:8" x14ac:dyDescent="0.2">
      <c r="B109" s="20"/>
      <c r="C109" s="23"/>
      <c r="E109" s="10"/>
      <c r="F109" s="27"/>
      <c r="G109" s="12"/>
    </row>
    <row r="110" spans="1:8" x14ac:dyDescent="0.2">
      <c r="B110" s="20"/>
      <c r="C110" s="23"/>
      <c r="E110" s="10"/>
      <c r="F110" s="27"/>
      <c r="G110" s="12"/>
    </row>
    <row r="111" spans="1:8" x14ac:dyDescent="0.2">
      <c r="B111" s="20"/>
      <c r="C111" s="23"/>
      <c r="E111" s="10"/>
      <c r="F111" s="27"/>
      <c r="G111" s="12"/>
    </row>
    <row r="112" spans="1:8" x14ac:dyDescent="0.2">
      <c r="B112" s="20"/>
      <c r="C112" s="23"/>
      <c r="E112" s="10"/>
      <c r="F112" s="27"/>
      <c r="G112" s="12"/>
    </row>
    <row r="113" spans="2:7" x14ac:dyDescent="0.2">
      <c r="B113" s="20"/>
      <c r="C113" s="23"/>
      <c r="E113" s="10"/>
      <c r="F113" s="27"/>
      <c r="G113" s="12"/>
    </row>
    <row r="114" spans="2:7" x14ac:dyDescent="0.2">
      <c r="B114" s="20"/>
      <c r="C114" s="23"/>
      <c r="E114" s="10"/>
      <c r="F114" s="27"/>
      <c r="G114" s="12"/>
    </row>
    <row r="115" spans="2:7" x14ac:dyDescent="0.2">
      <c r="B115" s="20"/>
      <c r="C115" s="23"/>
      <c r="E115" s="10"/>
      <c r="F115" s="27"/>
      <c r="G115" s="12"/>
    </row>
    <row r="116" spans="2:7" x14ac:dyDescent="0.2">
      <c r="B116" s="20"/>
      <c r="C116" s="23"/>
      <c r="E116" s="10"/>
      <c r="F116" s="27"/>
      <c r="G116" s="12"/>
    </row>
    <row r="117" spans="2:7" x14ac:dyDescent="0.2">
      <c r="B117" s="20"/>
      <c r="C117" s="23"/>
      <c r="E117" s="10"/>
      <c r="F117" s="27"/>
      <c r="G117" s="12"/>
    </row>
    <row r="118" spans="2:7" x14ac:dyDescent="0.2">
      <c r="B118" s="20"/>
      <c r="C118" s="23"/>
      <c r="E118" s="10"/>
      <c r="F118" s="27"/>
      <c r="G118" s="12"/>
    </row>
    <row r="119" spans="2:7" x14ac:dyDescent="0.2">
      <c r="B119" s="20"/>
      <c r="C119" s="23"/>
      <c r="E119" s="10"/>
      <c r="F119" s="27"/>
      <c r="G119" s="12"/>
    </row>
    <row r="120" spans="2:7" x14ac:dyDescent="0.2">
      <c r="B120" s="20"/>
      <c r="C120" s="23"/>
      <c r="E120" s="10"/>
      <c r="F120" s="27"/>
      <c r="G120" s="12"/>
    </row>
    <row r="121" spans="2:7" x14ac:dyDescent="0.2">
      <c r="B121" s="20"/>
      <c r="C121" s="23"/>
      <c r="E121" s="10"/>
      <c r="F121" s="27"/>
      <c r="G121" s="12"/>
    </row>
    <row r="122" spans="2:7" x14ac:dyDescent="0.2">
      <c r="B122" s="20"/>
      <c r="C122" s="23"/>
      <c r="E122" s="10"/>
      <c r="F122" s="27"/>
      <c r="G122" s="12"/>
    </row>
    <row r="123" spans="2:7" x14ac:dyDescent="0.2">
      <c r="B123" s="20"/>
      <c r="C123" s="23"/>
      <c r="E123" s="10"/>
      <c r="F123" s="27"/>
      <c r="G123" s="12"/>
    </row>
    <row r="124" spans="2:7" x14ac:dyDescent="0.2">
      <c r="B124" s="20"/>
      <c r="C124" s="23"/>
      <c r="E124" s="10"/>
      <c r="F124" s="27"/>
      <c r="G124" s="12"/>
    </row>
    <row r="125" spans="2:7" x14ac:dyDescent="0.2">
      <c r="B125" s="20"/>
      <c r="C125" s="23"/>
      <c r="E125" s="10"/>
      <c r="F125" s="27"/>
      <c r="G125" s="12"/>
    </row>
    <row r="126" spans="2:7" x14ac:dyDescent="0.2">
      <c r="B126" s="20"/>
      <c r="C126" s="23"/>
      <c r="E126" s="10"/>
      <c r="F126" s="27"/>
      <c r="G126" s="12"/>
    </row>
    <row r="127" spans="2:7" x14ac:dyDescent="0.2">
      <c r="B127" s="20"/>
      <c r="C127" s="23"/>
      <c r="E127" s="10"/>
      <c r="F127" s="27"/>
      <c r="G127" s="12"/>
    </row>
    <row r="128" spans="2:7" x14ac:dyDescent="0.2">
      <c r="B128" s="20"/>
      <c r="C128" s="23"/>
      <c r="E128" s="10"/>
      <c r="F128" s="27"/>
      <c r="G128" s="12"/>
    </row>
    <row r="129" spans="2:7" x14ac:dyDescent="0.2">
      <c r="B129" s="20"/>
      <c r="C129" s="23"/>
      <c r="E129" s="10"/>
      <c r="F129" s="27"/>
      <c r="G129" s="12"/>
    </row>
    <row r="130" spans="2:7" x14ac:dyDescent="0.2">
      <c r="B130" s="20"/>
      <c r="C130" s="23"/>
      <c r="E130" s="10"/>
      <c r="F130" s="27"/>
      <c r="G130" s="12"/>
    </row>
    <row r="131" spans="2:7" x14ac:dyDescent="0.2">
      <c r="B131" s="20"/>
      <c r="C131" s="23"/>
      <c r="E131" s="10"/>
      <c r="F131" s="27"/>
      <c r="G131" s="12"/>
    </row>
    <row r="132" spans="2:7" x14ac:dyDescent="0.2">
      <c r="B132" s="20"/>
      <c r="C132" s="23"/>
      <c r="E132" s="10"/>
      <c r="F132" s="27"/>
      <c r="G132" s="12"/>
    </row>
    <row r="133" spans="2:7" x14ac:dyDescent="0.2">
      <c r="B133" s="20"/>
      <c r="C133" s="23"/>
      <c r="E133" s="10"/>
      <c r="F133" s="27"/>
      <c r="G133" s="12"/>
    </row>
    <row r="134" spans="2:7" x14ac:dyDescent="0.2">
      <c r="B134" s="20"/>
      <c r="C134" s="23"/>
      <c r="E134" s="10"/>
      <c r="F134" s="27"/>
      <c r="G134" s="12"/>
    </row>
    <row r="135" spans="2:7" x14ac:dyDescent="0.2">
      <c r="B135" s="20"/>
      <c r="C135" s="23"/>
      <c r="E135" s="10"/>
      <c r="F135" s="27"/>
      <c r="G135" s="12"/>
    </row>
    <row r="136" spans="2:7" x14ac:dyDescent="0.2">
      <c r="B136" s="20"/>
      <c r="C136" s="23"/>
      <c r="E136" s="10"/>
      <c r="F136" s="27"/>
      <c r="G136" s="12"/>
    </row>
    <row r="137" spans="2:7" x14ac:dyDescent="0.2">
      <c r="B137" s="20"/>
      <c r="C137" s="23"/>
      <c r="E137" s="10"/>
      <c r="F137" s="27"/>
      <c r="G137" s="12"/>
    </row>
    <row r="138" spans="2:7" x14ac:dyDescent="0.2">
      <c r="B138" s="20"/>
      <c r="C138" s="23"/>
      <c r="E138" s="10"/>
      <c r="F138" s="27"/>
      <c r="G138" s="12"/>
    </row>
    <row r="139" spans="2:7" x14ac:dyDescent="0.2">
      <c r="B139" s="20"/>
      <c r="C139" s="23"/>
      <c r="D139" s="14"/>
      <c r="E139" s="10"/>
      <c r="F139" s="27"/>
      <c r="G139" s="12"/>
    </row>
    <row r="140" spans="2:7" x14ac:dyDescent="0.2">
      <c r="B140" s="20"/>
      <c r="C140" s="23"/>
      <c r="E140" s="10"/>
      <c r="F140" s="27"/>
      <c r="G140" s="12"/>
    </row>
    <row r="141" spans="2:7" x14ac:dyDescent="0.2">
      <c r="B141" s="20"/>
      <c r="C141" s="23"/>
      <c r="E141" s="10"/>
      <c r="F141" s="27"/>
      <c r="G141" s="12"/>
    </row>
    <row r="142" spans="2:7" x14ac:dyDescent="0.2">
      <c r="B142" s="20"/>
      <c r="C142" s="23"/>
      <c r="E142" s="10"/>
      <c r="F142" s="27"/>
      <c r="G142" s="12"/>
    </row>
    <row r="143" spans="2:7" x14ac:dyDescent="0.2">
      <c r="B143" s="20"/>
      <c r="C143" s="23"/>
      <c r="E143" s="10"/>
      <c r="F143" s="27"/>
      <c r="G143" s="12"/>
    </row>
    <row r="144" spans="2:7" x14ac:dyDescent="0.2">
      <c r="B144" s="20"/>
      <c r="C144" s="23"/>
      <c r="E144" s="10"/>
      <c r="F144" s="27"/>
      <c r="G144" s="12"/>
    </row>
    <row r="145" spans="2:7" x14ac:dyDescent="0.2">
      <c r="B145" s="20"/>
      <c r="C145" s="23"/>
      <c r="E145" s="10"/>
      <c r="F145" s="27"/>
      <c r="G145" s="12"/>
    </row>
    <row r="146" spans="2:7" x14ac:dyDescent="0.2">
      <c r="B146" s="20"/>
      <c r="C146" s="23"/>
      <c r="D146" s="14"/>
      <c r="E146" s="10"/>
      <c r="F146" s="27"/>
      <c r="G146" s="12"/>
    </row>
    <row r="147" spans="2:7" x14ac:dyDescent="0.2">
      <c r="B147" s="20"/>
      <c r="C147" s="23"/>
      <c r="E147" s="10"/>
      <c r="F147" s="27"/>
      <c r="G147" s="12"/>
    </row>
    <row r="148" spans="2:7" x14ac:dyDescent="0.2">
      <c r="B148" s="20"/>
      <c r="C148" s="23"/>
      <c r="E148" s="10"/>
      <c r="F148" s="27"/>
      <c r="G148" s="12"/>
    </row>
    <row r="149" spans="2:7" x14ac:dyDescent="0.2">
      <c r="B149" s="20"/>
      <c r="C149" s="23"/>
      <c r="E149" s="10"/>
      <c r="F149" s="27"/>
      <c r="G149" s="12"/>
    </row>
    <row r="150" spans="2:7" x14ac:dyDescent="0.2">
      <c r="B150" s="20"/>
      <c r="C150" s="23"/>
      <c r="E150" s="10"/>
      <c r="F150" s="27"/>
      <c r="G150" s="12"/>
    </row>
    <row r="151" spans="2:7" x14ac:dyDescent="0.2">
      <c r="B151" s="20"/>
      <c r="C151" s="23"/>
      <c r="E151" s="10"/>
      <c r="F151" s="27"/>
      <c r="G151" s="12"/>
    </row>
    <row r="152" spans="2:7" x14ac:dyDescent="0.2">
      <c r="B152" s="20"/>
      <c r="C152" s="23"/>
      <c r="E152" s="10"/>
      <c r="F152" s="27"/>
      <c r="G152" s="12"/>
    </row>
    <row r="153" spans="2:7" x14ac:dyDescent="0.2">
      <c r="B153" s="20"/>
      <c r="C153" s="23"/>
      <c r="E153" s="10"/>
      <c r="F153" s="27"/>
      <c r="G153" s="12"/>
    </row>
    <row r="154" spans="2:7" x14ac:dyDescent="0.2">
      <c r="B154" s="20"/>
      <c r="C154" s="23"/>
      <c r="E154" s="10"/>
      <c r="F154" s="27"/>
      <c r="G154" s="12"/>
    </row>
    <row r="155" spans="2:7" x14ac:dyDescent="0.2">
      <c r="B155" s="20"/>
      <c r="C155" s="23"/>
      <c r="E155" s="10"/>
      <c r="F155" s="27"/>
      <c r="G155" s="12"/>
    </row>
    <row r="156" spans="2:7" x14ac:dyDescent="0.2">
      <c r="B156" s="20"/>
      <c r="C156" s="23"/>
      <c r="E156" s="10"/>
      <c r="F156" s="27"/>
      <c r="G156" s="12"/>
    </row>
    <row r="157" spans="2:7" x14ac:dyDescent="0.2">
      <c r="B157" s="20"/>
      <c r="C157" s="23"/>
      <c r="E157" s="10"/>
      <c r="F157" s="27"/>
      <c r="G157" s="12"/>
    </row>
    <row r="158" spans="2:7" x14ac:dyDescent="0.2">
      <c r="B158" s="20"/>
      <c r="C158" s="23"/>
      <c r="E158" s="10"/>
      <c r="F158" s="27"/>
      <c r="G158" s="12"/>
    </row>
    <row r="159" spans="2:7" x14ac:dyDescent="0.2">
      <c r="B159" s="20"/>
      <c r="C159" s="23"/>
      <c r="E159" s="10"/>
      <c r="F159" s="27"/>
      <c r="G159" s="12"/>
    </row>
    <row r="160" spans="2:7" x14ac:dyDescent="0.2">
      <c r="B160" s="20"/>
      <c r="C160" s="23"/>
      <c r="E160" s="10"/>
      <c r="F160" s="27"/>
      <c r="G160" s="12"/>
    </row>
    <row r="161" spans="2:7" x14ac:dyDescent="0.2">
      <c r="B161" s="20"/>
      <c r="C161" s="23"/>
      <c r="E161" s="10"/>
      <c r="F161" s="27"/>
      <c r="G161" s="12"/>
    </row>
    <row r="162" spans="2:7" x14ac:dyDescent="0.2">
      <c r="B162" s="20"/>
      <c r="C162" s="23"/>
      <c r="E162" s="10"/>
      <c r="F162" s="27"/>
      <c r="G162" s="12"/>
    </row>
    <row r="163" spans="2:7" x14ac:dyDescent="0.2">
      <c r="B163" s="20"/>
      <c r="C163" s="23"/>
      <c r="E163" s="10"/>
      <c r="F163" s="27"/>
      <c r="G163" s="12"/>
    </row>
    <row r="164" spans="2:7" x14ac:dyDescent="0.2">
      <c r="B164" s="20"/>
      <c r="C164" s="23"/>
      <c r="E164" s="10"/>
      <c r="F164" s="27"/>
      <c r="G164" s="12"/>
    </row>
    <row r="165" spans="2:7" x14ac:dyDescent="0.2">
      <c r="B165" s="20"/>
      <c r="C165" s="23"/>
      <c r="E165" s="10"/>
      <c r="F165" s="27"/>
      <c r="G165" s="12"/>
    </row>
    <row r="166" spans="2:7" x14ac:dyDescent="0.2">
      <c r="B166" s="20"/>
      <c r="C166" s="23"/>
      <c r="E166" s="10"/>
      <c r="F166" s="27"/>
      <c r="G166" s="12"/>
    </row>
    <row r="167" spans="2:7" x14ac:dyDescent="0.2">
      <c r="B167" s="20"/>
      <c r="C167" s="23"/>
      <c r="E167" s="10"/>
      <c r="F167" s="27"/>
      <c r="G167" s="12"/>
    </row>
    <row r="168" spans="2:7" x14ac:dyDescent="0.2">
      <c r="B168" s="20"/>
      <c r="C168" s="23"/>
      <c r="E168" s="10"/>
      <c r="F168" s="27"/>
      <c r="G168" s="12"/>
    </row>
    <row r="169" spans="2:7" x14ac:dyDescent="0.2">
      <c r="B169" s="20"/>
      <c r="C169" s="23"/>
      <c r="E169" s="10"/>
      <c r="F169" s="27"/>
      <c r="G169" s="12"/>
    </row>
    <row r="170" spans="2:7" x14ac:dyDescent="0.2">
      <c r="B170" s="20"/>
      <c r="C170" s="23"/>
      <c r="E170" s="10"/>
      <c r="F170" s="27"/>
      <c r="G170" s="12"/>
    </row>
    <row r="171" spans="2:7" x14ac:dyDescent="0.2">
      <c r="B171" s="20"/>
      <c r="C171" s="23"/>
      <c r="E171" s="10"/>
      <c r="F171" s="27"/>
      <c r="G171" s="12"/>
    </row>
    <row r="172" spans="2:7" x14ac:dyDescent="0.2">
      <c r="B172" s="20"/>
      <c r="C172" s="23"/>
      <c r="E172" s="10"/>
      <c r="F172" s="27"/>
      <c r="G172" s="12"/>
    </row>
    <row r="173" spans="2:7" x14ac:dyDescent="0.2">
      <c r="B173" s="20"/>
      <c r="C173" s="23"/>
      <c r="E173" s="10"/>
      <c r="F173" s="27"/>
      <c r="G173" s="12"/>
    </row>
    <row r="174" spans="2:7" x14ac:dyDescent="0.2">
      <c r="B174" s="20"/>
      <c r="C174" s="23"/>
      <c r="E174" s="10"/>
      <c r="F174" s="27"/>
      <c r="G174" s="12"/>
    </row>
    <row r="175" spans="2:7" x14ac:dyDescent="0.2">
      <c r="B175" s="20"/>
      <c r="C175" s="23"/>
      <c r="E175" s="10"/>
      <c r="F175" s="27"/>
      <c r="G175" s="12"/>
    </row>
    <row r="176" spans="2:7" x14ac:dyDescent="0.2">
      <c r="B176" s="20"/>
      <c r="C176" s="23"/>
      <c r="D176" s="15"/>
      <c r="E176" s="10"/>
      <c r="F176" s="27"/>
      <c r="G176" s="12"/>
    </row>
    <row r="177" spans="2:7" x14ac:dyDescent="0.2">
      <c r="B177" s="20"/>
      <c r="C177" s="23"/>
      <c r="E177" s="10"/>
      <c r="F177" s="27"/>
      <c r="G177" s="12"/>
    </row>
    <row r="178" spans="2:7" x14ac:dyDescent="0.2">
      <c r="B178" s="20"/>
      <c r="C178" s="23"/>
      <c r="E178" s="10"/>
      <c r="F178" s="27"/>
      <c r="G178" s="12"/>
    </row>
    <row r="179" spans="2:7" x14ac:dyDescent="0.2">
      <c r="B179" s="20"/>
      <c r="C179" s="23"/>
      <c r="E179" s="10"/>
      <c r="F179" s="27"/>
      <c r="G179" s="12"/>
    </row>
    <row r="180" spans="2:7" x14ac:dyDescent="0.2">
      <c r="B180" s="20"/>
      <c r="C180" s="23"/>
      <c r="E180" s="10"/>
      <c r="F180" s="27"/>
      <c r="G180" s="12"/>
    </row>
    <row r="181" spans="2:7" x14ac:dyDescent="0.2">
      <c r="B181" s="20"/>
      <c r="C181" s="23"/>
      <c r="E181" s="10"/>
      <c r="F181" s="27"/>
      <c r="G181" s="12"/>
    </row>
    <row r="182" spans="2:7" x14ac:dyDescent="0.2">
      <c r="B182" s="20"/>
      <c r="C182" s="23"/>
      <c r="D182" s="15"/>
      <c r="E182" s="16"/>
      <c r="F182" s="27"/>
      <c r="G182" s="12"/>
    </row>
    <row r="183" spans="2:7" x14ac:dyDescent="0.2">
      <c r="B183" s="20"/>
      <c r="C183" s="23"/>
      <c r="E183" s="10"/>
      <c r="F183" s="27"/>
      <c r="G183" s="12"/>
    </row>
    <row r="184" spans="2:7" x14ac:dyDescent="0.2">
      <c r="B184" s="20"/>
      <c r="C184" s="23"/>
      <c r="E184" s="10"/>
      <c r="F184" s="27"/>
      <c r="G184" s="12"/>
    </row>
    <row r="185" spans="2:7" x14ac:dyDescent="0.2">
      <c r="B185" s="20"/>
      <c r="C185" s="23"/>
      <c r="E185" s="10"/>
      <c r="F185" s="27"/>
      <c r="G185" s="12"/>
    </row>
    <row r="186" spans="2:7" x14ac:dyDescent="0.2">
      <c r="B186" s="20"/>
      <c r="C186" s="23"/>
      <c r="E186" s="10"/>
      <c r="F186" s="27"/>
      <c r="G186" s="12"/>
    </row>
    <row r="187" spans="2:7" x14ac:dyDescent="0.2">
      <c r="B187" s="20"/>
      <c r="C187" s="23"/>
      <c r="E187" s="10"/>
      <c r="F187" s="27"/>
      <c r="G187" s="12"/>
    </row>
    <row r="188" spans="2:7" x14ac:dyDescent="0.2">
      <c r="B188" s="20"/>
      <c r="C188" s="23"/>
      <c r="E188" s="10"/>
      <c r="F188" s="27"/>
      <c r="G188" s="12"/>
    </row>
    <row r="189" spans="2:7" x14ac:dyDescent="0.2">
      <c r="B189" s="20"/>
      <c r="C189" s="23"/>
      <c r="E189" s="10"/>
      <c r="F189" s="27"/>
      <c r="G189" s="12"/>
    </row>
    <row r="190" spans="2:7" x14ac:dyDescent="0.2">
      <c r="B190" s="20"/>
      <c r="C190" s="23"/>
      <c r="D190" s="15"/>
      <c r="E190" s="10"/>
      <c r="F190" s="27"/>
      <c r="G190" s="12"/>
    </row>
    <row r="191" spans="2:7" x14ac:dyDescent="0.2">
      <c r="B191" s="20"/>
      <c r="C191" s="23"/>
      <c r="E191" s="10"/>
      <c r="F191" s="27"/>
      <c r="G191" s="12"/>
    </row>
    <row r="192" spans="2:7" x14ac:dyDescent="0.2">
      <c r="B192" s="20"/>
      <c r="C192" s="23"/>
      <c r="E192" s="10"/>
      <c r="F192" s="27"/>
      <c r="G192" s="12"/>
    </row>
    <row r="193" spans="2:7" x14ac:dyDescent="0.2">
      <c r="B193" s="20"/>
      <c r="C193" s="23"/>
      <c r="E193" s="10"/>
      <c r="F193" s="27"/>
      <c r="G193" s="12"/>
    </row>
    <row r="194" spans="2:7" x14ac:dyDescent="0.2">
      <c r="B194" s="20"/>
      <c r="C194" s="23"/>
      <c r="E194" s="10"/>
      <c r="F194" s="27"/>
      <c r="G194" s="12"/>
    </row>
    <row r="195" spans="2:7" x14ac:dyDescent="0.2">
      <c r="B195" s="20"/>
      <c r="C195" s="23"/>
      <c r="E195" s="10"/>
      <c r="F195" s="27"/>
      <c r="G195" s="12"/>
    </row>
    <row r="196" spans="2:7" x14ac:dyDescent="0.2">
      <c r="B196" s="20"/>
      <c r="C196" s="23"/>
      <c r="E196" s="10"/>
      <c r="F196" s="27"/>
      <c r="G196" s="12"/>
    </row>
    <row r="197" spans="2:7" x14ac:dyDescent="0.2">
      <c r="B197" s="20"/>
      <c r="C197" s="23"/>
      <c r="E197" s="10"/>
      <c r="F197" s="27"/>
      <c r="G197" s="12"/>
    </row>
    <row r="198" spans="2:7" x14ac:dyDescent="0.2">
      <c r="B198" s="20"/>
      <c r="C198" s="23"/>
      <c r="E198" s="10"/>
      <c r="F198" s="27"/>
      <c r="G198" s="12"/>
    </row>
    <row r="199" spans="2:7" x14ac:dyDescent="0.2">
      <c r="B199" s="20"/>
      <c r="C199" s="23"/>
      <c r="E199" s="10"/>
      <c r="F199" s="27"/>
      <c r="G199" s="12"/>
    </row>
    <row r="200" spans="2:7" x14ac:dyDescent="0.2">
      <c r="B200" s="20"/>
      <c r="C200" s="23"/>
      <c r="E200" s="10"/>
      <c r="F200" s="27"/>
      <c r="G200" s="12"/>
    </row>
    <row r="201" spans="2:7" x14ac:dyDescent="0.2">
      <c r="B201" s="20"/>
      <c r="C201" s="23"/>
      <c r="E201" s="10"/>
      <c r="F201" s="27"/>
      <c r="G201" s="12"/>
    </row>
    <row r="202" spans="2:7" x14ac:dyDescent="0.2">
      <c r="B202" s="20"/>
      <c r="C202" s="23"/>
      <c r="E202" s="10"/>
      <c r="F202" s="27"/>
      <c r="G202" s="12"/>
    </row>
    <row r="203" spans="2:7" x14ac:dyDescent="0.2">
      <c r="B203" s="20"/>
      <c r="C203" s="23"/>
      <c r="E203" s="10"/>
      <c r="F203" s="27"/>
      <c r="G203" s="12"/>
    </row>
    <row r="204" spans="2:7" x14ac:dyDescent="0.2">
      <c r="B204" s="20"/>
      <c r="C204" s="23"/>
      <c r="E204" s="10"/>
      <c r="F204" s="27"/>
      <c r="G204" s="12"/>
    </row>
    <row r="205" spans="2:7" x14ac:dyDescent="0.2">
      <c r="B205" s="20"/>
      <c r="C205" s="23"/>
      <c r="E205" s="10"/>
      <c r="F205" s="27"/>
      <c r="G205" s="12"/>
    </row>
    <row r="206" spans="2:7" x14ac:dyDescent="0.2">
      <c r="B206" s="20"/>
      <c r="C206" s="23"/>
      <c r="E206" s="10"/>
      <c r="F206" s="27"/>
      <c r="G206" s="12"/>
    </row>
    <row r="207" spans="2:7" x14ac:dyDescent="0.2">
      <c r="B207" s="20"/>
      <c r="C207" s="23"/>
      <c r="E207" s="10"/>
      <c r="F207" s="27"/>
      <c r="G207" s="12"/>
    </row>
    <row r="208" spans="2:7" x14ac:dyDescent="0.2">
      <c r="B208" s="20"/>
      <c r="C208" s="23"/>
      <c r="E208" s="10"/>
      <c r="F208" s="27"/>
      <c r="G208" s="12"/>
    </row>
    <row r="209" spans="2:7" x14ac:dyDescent="0.2">
      <c r="B209" s="20"/>
      <c r="C209" s="23"/>
      <c r="E209" s="10"/>
      <c r="F209" s="27"/>
      <c r="G209" s="12"/>
    </row>
    <row r="210" spans="2:7" x14ac:dyDescent="0.2">
      <c r="B210" s="20"/>
      <c r="C210" s="23"/>
      <c r="E210" s="10"/>
      <c r="F210" s="27"/>
      <c r="G210" s="12"/>
    </row>
    <row r="211" spans="2:7" x14ac:dyDescent="0.2">
      <c r="B211" s="20"/>
      <c r="C211" s="23"/>
      <c r="E211" s="10"/>
      <c r="F211" s="27"/>
      <c r="G211" s="12"/>
    </row>
    <row r="212" spans="2:7" x14ac:dyDescent="0.2">
      <c r="B212" s="20"/>
      <c r="C212" s="23"/>
      <c r="E212" s="10"/>
      <c r="F212" s="27"/>
      <c r="G212" s="12"/>
    </row>
    <row r="213" spans="2:7" x14ac:dyDescent="0.2">
      <c r="B213" s="20"/>
      <c r="C213" s="23"/>
      <c r="E213" s="10"/>
      <c r="F213" s="27"/>
      <c r="G213" s="12"/>
    </row>
    <row r="214" spans="2:7" x14ac:dyDescent="0.2">
      <c r="B214" s="20"/>
      <c r="C214" s="23"/>
      <c r="E214" s="10"/>
      <c r="F214" s="27"/>
      <c r="G214" s="12"/>
    </row>
    <row r="215" spans="2:7" x14ac:dyDescent="0.2">
      <c r="B215" s="20"/>
      <c r="C215" s="23"/>
      <c r="E215" s="10"/>
      <c r="F215" s="27"/>
      <c r="G215" s="12"/>
    </row>
    <row r="216" spans="2:7" x14ac:dyDescent="0.2">
      <c r="B216" s="20"/>
      <c r="C216" s="23"/>
      <c r="E216" s="10"/>
      <c r="F216" s="27"/>
      <c r="G216" s="12"/>
    </row>
    <row r="217" spans="2:7" x14ac:dyDescent="0.2">
      <c r="B217" s="20"/>
      <c r="C217" s="23"/>
      <c r="E217" s="10"/>
      <c r="F217" s="27"/>
      <c r="G217" s="12"/>
    </row>
    <row r="218" spans="2:7" x14ac:dyDescent="0.2">
      <c r="B218" s="20"/>
      <c r="C218" s="23"/>
      <c r="E218" s="10"/>
      <c r="F218" s="27"/>
      <c r="G218" s="12"/>
    </row>
    <row r="219" spans="2:7" x14ac:dyDescent="0.2">
      <c r="B219" s="20"/>
      <c r="C219" s="23"/>
      <c r="E219" s="10"/>
      <c r="F219" s="27"/>
      <c r="G219" s="12"/>
    </row>
    <row r="220" spans="2:7" x14ac:dyDescent="0.2">
      <c r="B220" s="20"/>
      <c r="C220" s="23"/>
      <c r="D220" s="17"/>
      <c r="E220" s="10"/>
      <c r="F220" s="27"/>
      <c r="G220" s="12"/>
    </row>
    <row r="221" spans="2:7" x14ac:dyDescent="0.2">
      <c r="B221" s="20"/>
      <c r="C221" s="23"/>
      <c r="E221" s="10"/>
      <c r="F221" s="27"/>
      <c r="G221" s="12"/>
    </row>
    <row r="222" spans="2:7" x14ac:dyDescent="0.2">
      <c r="B222" s="20"/>
      <c r="C222" s="23"/>
      <c r="E222" s="10"/>
      <c r="F222" s="27"/>
      <c r="G222" s="12"/>
    </row>
    <row r="223" spans="2:7" x14ac:dyDescent="0.2">
      <c r="B223" s="20"/>
      <c r="C223" s="23"/>
      <c r="E223" s="10"/>
      <c r="F223" s="27"/>
      <c r="G223" s="12"/>
    </row>
    <row r="224" spans="2:7" x14ac:dyDescent="0.2">
      <c r="B224" s="20"/>
      <c r="C224" s="23"/>
      <c r="E224" s="10"/>
      <c r="F224" s="27"/>
      <c r="G224" s="12"/>
    </row>
    <row r="225" spans="2:7" x14ac:dyDescent="0.2">
      <c r="B225" s="20"/>
      <c r="C225" s="23"/>
      <c r="D225" s="14"/>
      <c r="E225" s="10"/>
      <c r="F225" s="27"/>
      <c r="G225" s="12"/>
    </row>
    <row r="226" spans="2:7" x14ac:dyDescent="0.2">
      <c r="B226" s="20"/>
      <c r="C226" s="23"/>
      <c r="E226" s="10"/>
      <c r="F226" s="27"/>
      <c r="G226" s="12"/>
    </row>
    <row r="227" spans="2:7" x14ac:dyDescent="0.2">
      <c r="B227" s="20"/>
      <c r="C227" s="23"/>
      <c r="E227" s="10"/>
      <c r="F227" s="27"/>
      <c r="G227" s="12"/>
    </row>
    <row r="228" spans="2:7" x14ac:dyDescent="0.2">
      <c r="B228" s="20"/>
      <c r="C228" s="23"/>
      <c r="E228" s="10"/>
      <c r="F228" s="27"/>
      <c r="G228" s="12"/>
    </row>
    <row r="229" spans="2:7" x14ac:dyDescent="0.2">
      <c r="B229" s="20"/>
      <c r="C229" s="23"/>
      <c r="E229" s="10"/>
      <c r="F229" s="27"/>
      <c r="G229" s="12"/>
    </row>
    <row r="230" spans="2:7" x14ac:dyDescent="0.2">
      <c r="B230" s="20"/>
      <c r="C230" s="23"/>
      <c r="E230" s="10"/>
      <c r="F230" s="27"/>
      <c r="G230" s="12"/>
    </row>
    <row r="231" spans="2:7" x14ac:dyDescent="0.2">
      <c r="B231" s="20"/>
      <c r="C231" s="23"/>
      <c r="E231" s="10"/>
      <c r="F231" s="27"/>
      <c r="G231" s="12"/>
    </row>
    <row r="232" spans="2:7" x14ac:dyDescent="0.2">
      <c r="B232" s="20"/>
      <c r="C232" s="23"/>
      <c r="E232" s="10"/>
      <c r="F232" s="27"/>
      <c r="G232" s="12"/>
    </row>
    <row r="233" spans="2:7" x14ac:dyDescent="0.2">
      <c r="B233" s="20"/>
      <c r="C233" s="23"/>
      <c r="E233" s="10"/>
      <c r="F233" s="27"/>
      <c r="G233" s="12"/>
    </row>
    <row r="234" spans="2:7" x14ac:dyDescent="0.2">
      <c r="B234" s="20"/>
      <c r="C234" s="23"/>
      <c r="E234" s="10"/>
      <c r="F234" s="27"/>
      <c r="G234" s="12"/>
    </row>
    <row r="235" spans="2:7" x14ac:dyDescent="0.2">
      <c r="B235" s="20"/>
      <c r="C235" s="23"/>
      <c r="E235" s="10"/>
      <c r="F235" s="27"/>
      <c r="G235" s="12"/>
    </row>
    <row r="236" spans="2:7" x14ac:dyDescent="0.2">
      <c r="B236" s="20"/>
      <c r="C236" s="23"/>
      <c r="E236" s="10"/>
      <c r="F236" s="27"/>
      <c r="G236" s="12"/>
    </row>
    <row r="237" spans="2:7" x14ac:dyDescent="0.2">
      <c r="B237" s="20"/>
      <c r="C237" s="23"/>
      <c r="E237" s="10"/>
      <c r="F237" s="27"/>
      <c r="G237" s="12"/>
    </row>
    <row r="238" spans="2:7" x14ac:dyDescent="0.2">
      <c r="B238" s="20"/>
      <c r="C238" s="23"/>
      <c r="E238" s="10"/>
      <c r="F238" s="27"/>
      <c r="G238" s="12"/>
    </row>
    <row r="239" spans="2:7" x14ac:dyDescent="0.2">
      <c r="B239" s="20"/>
      <c r="C239" s="23"/>
      <c r="E239" s="10"/>
      <c r="F239" s="27"/>
      <c r="G239" s="12"/>
    </row>
    <row r="240" spans="2:7" x14ac:dyDescent="0.2">
      <c r="B240" s="20"/>
      <c r="C240" s="23"/>
      <c r="E240" s="10"/>
      <c r="F240" s="27"/>
      <c r="G240" s="12"/>
    </row>
    <row r="241" spans="2:7" x14ac:dyDescent="0.2">
      <c r="B241" s="20"/>
      <c r="C241" s="23"/>
      <c r="E241" s="10"/>
      <c r="F241" s="27"/>
      <c r="G241" s="12"/>
    </row>
    <row r="242" spans="2:7" x14ac:dyDescent="0.2">
      <c r="B242" s="20"/>
      <c r="C242" s="23"/>
      <c r="E242" s="10"/>
      <c r="F242" s="27"/>
      <c r="G242" s="12"/>
    </row>
    <row r="243" spans="2:7" x14ac:dyDescent="0.2">
      <c r="B243" s="20"/>
      <c r="C243" s="23"/>
      <c r="E243" s="10"/>
      <c r="F243" s="27"/>
      <c r="G243" s="12"/>
    </row>
    <row r="244" spans="2:7" x14ac:dyDescent="0.2">
      <c r="B244" s="20"/>
      <c r="C244" s="23"/>
      <c r="E244" s="10"/>
      <c r="F244" s="27"/>
      <c r="G244" s="12"/>
    </row>
    <row r="245" spans="2:7" x14ac:dyDescent="0.2">
      <c r="B245" s="20"/>
      <c r="C245" s="23"/>
      <c r="E245" s="10"/>
      <c r="F245" s="27"/>
      <c r="G245" s="12"/>
    </row>
    <row r="246" spans="2:7" x14ac:dyDescent="0.2">
      <c r="B246" s="20"/>
      <c r="C246" s="23"/>
      <c r="E246" s="10"/>
      <c r="F246" s="27"/>
      <c r="G246" s="12"/>
    </row>
    <row r="247" spans="2:7" x14ac:dyDescent="0.2">
      <c r="B247" s="20"/>
      <c r="C247" s="23"/>
      <c r="E247" s="10"/>
      <c r="F247" s="27"/>
      <c r="G247" s="12"/>
    </row>
    <row r="248" spans="2:7" x14ac:dyDescent="0.2">
      <c r="B248" s="20"/>
      <c r="C248" s="23"/>
      <c r="E248" s="10"/>
      <c r="F248" s="27"/>
      <c r="G248" s="12"/>
    </row>
    <row r="249" spans="2:7" x14ac:dyDescent="0.2">
      <c r="B249" s="20"/>
      <c r="C249" s="23"/>
      <c r="E249" s="10"/>
      <c r="F249" s="27"/>
      <c r="G249" s="12"/>
    </row>
    <row r="250" spans="2:7" x14ac:dyDescent="0.2">
      <c r="B250" s="20"/>
      <c r="C250" s="23"/>
      <c r="E250" s="10"/>
      <c r="F250" s="27"/>
      <c r="G250" s="12"/>
    </row>
    <row r="251" spans="2:7" x14ac:dyDescent="0.2">
      <c r="B251" s="20"/>
      <c r="C251" s="23"/>
      <c r="E251" s="10"/>
      <c r="F251" s="27"/>
      <c r="G251" s="12"/>
    </row>
    <row r="252" spans="2:7" x14ac:dyDescent="0.2">
      <c r="B252" s="20"/>
      <c r="C252" s="23"/>
      <c r="E252" s="10"/>
      <c r="F252" s="27"/>
      <c r="G252" s="12"/>
    </row>
    <row r="253" spans="2:7" x14ac:dyDescent="0.2">
      <c r="B253" s="20"/>
      <c r="C253" s="23"/>
      <c r="E253" s="10"/>
      <c r="F253" s="27"/>
      <c r="G253" s="12"/>
    </row>
    <row r="254" spans="2:7" x14ac:dyDescent="0.2">
      <c r="B254" s="20"/>
      <c r="C254" s="23"/>
      <c r="E254" s="10"/>
      <c r="F254" s="27"/>
      <c r="G254" s="12"/>
    </row>
    <row r="255" spans="2:7" x14ac:dyDescent="0.2">
      <c r="B255" s="20"/>
      <c r="C255" s="23"/>
      <c r="E255" s="10"/>
      <c r="F255" s="27"/>
      <c r="G255" s="12"/>
    </row>
    <row r="256" spans="2:7" x14ac:dyDescent="0.2">
      <c r="B256" s="20"/>
      <c r="C256" s="23"/>
      <c r="E256" s="10"/>
      <c r="F256" s="27"/>
      <c r="G256" s="12"/>
    </row>
    <row r="257" spans="2:7" x14ac:dyDescent="0.2">
      <c r="B257" s="20"/>
      <c r="C257" s="23"/>
      <c r="E257" s="10"/>
      <c r="F257" s="27"/>
      <c r="G257" s="12"/>
    </row>
    <row r="258" spans="2:7" x14ac:dyDescent="0.2">
      <c r="B258" s="20"/>
      <c r="C258" s="23"/>
      <c r="E258" s="10"/>
      <c r="F258" s="27"/>
      <c r="G258" s="12"/>
    </row>
    <row r="259" spans="2:7" x14ac:dyDescent="0.2">
      <c r="B259" s="20"/>
      <c r="C259" s="23"/>
      <c r="E259" s="10"/>
      <c r="F259" s="27"/>
      <c r="G259" s="12"/>
    </row>
    <row r="260" spans="2:7" x14ac:dyDescent="0.2">
      <c r="B260" s="20"/>
      <c r="C260" s="23"/>
      <c r="E260" s="10"/>
      <c r="F260" s="27"/>
      <c r="G260" s="12"/>
    </row>
    <row r="261" spans="2:7" x14ac:dyDescent="0.2">
      <c r="B261" s="20"/>
      <c r="C261" s="23"/>
      <c r="E261" s="10"/>
      <c r="F261" s="27"/>
      <c r="G261" s="12"/>
    </row>
    <row r="262" spans="2:7" x14ac:dyDescent="0.2">
      <c r="B262" s="20"/>
      <c r="C262" s="23"/>
      <c r="E262" s="10"/>
      <c r="F262" s="27"/>
      <c r="G262" s="12"/>
    </row>
    <row r="263" spans="2:7" x14ac:dyDescent="0.2">
      <c r="B263" s="20"/>
      <c r="C263" s="23"/>
      <c r="E263" s="10"/>
      <c r="F263" s="27"/>
      <c r="G263" s="12"/>
    </row>
    <row r="264" spans="2:7" x14ac:dyDescent="0.2">
      <c r="B264" s="20"/>
      <c r="C264" s="23"/>
      <c r="E264" s="10"/>
      <c r="F264" s="27"/>
      <c r="G264" s="12"/>
    </row>
    <row r="265" spans="2:7" x14ac:dyDescent="0.2">
      <c r="B265" s="20"/>
      <c r="C265" s="23"/>
      <c r="E265" s="10"/>
      <c r="F265" s="27"/>
      <c r="G265" s="12"/>
    </row>
    <row r="266" spans="2:7" x14ac:dyDescent="0.2">
      <c r="B266" s="20"/>
      <c r="C266" s="23"/>
      <c r="E266" s="10"/>
      <c r="F266" s="27"/>
      <c r="G266" s="12"/>
    </row>
    <row r="267" spans="2:7" x14ac:dyDescent="0.2">
      <c r="B267" s="20"/>
      <c r="C267" s="23"/>
      <c r="E267" s="10"/>
      <c r="F267" s="27"/>
      <c r="G267" s="12"/>
    </row>
    <row r="268" spans="2:7" x14ac:dyDescent="0.2">
      <c r="B268" s="20"/>
      <c r="C268" s="23"/>
      <c r="E268" s="10"/>
      <c r="F268" s="27"/>
      <c r="G268" s="12"/>
    </row>
    <row r="269" spans="2:7" x14ac:dyDescent="0.2">
      <c r="B269" s="20"/>
      <c r="C269" s="23"/>
      <c r="E269" s="10"/>
      <c r="F269" s="27"/>
      <c r="G269" s="12"/>
    </row>
    <row r="270" spans="2:7" x14ac:dyDescent="0.2">
      <c r="B270" s="20"/>
      <c r="C270" s="23"/>
      <c r="E270" s="10"/>
      <c r="F270" s="27"/>
      <c r="G270" s="12"/>
    </row>
    <row r="271" spans="2:7" x14ac:dyDescent="0.2">
      <c r="B271" s="20"/>
      <c r="C271" s="23"/>
      <c r="E271" s="10"/>
      <c r="F271" s="27"/>
      <c r="G271" s="12"/>
    </row>
    <row r="272" spans="2:7" x14ac:dyDescent="0.2">
      <c r="B272" s="20"/>
      <c r="C272" s="23"/>
      <c r="E272" s="10"/>
      <c r="F272" s="27"/>
      <c r="G272" s="12"/>
    </row>
    <row r="273" spans="2:7" x14ac:dyDescent="0.2">
      <c r="B273" s="20"/>
      <c r="C273" s="23"/>
      <c r="E273" s="10"/>
      <c r="F273" s="27"/>
      <c r="G273" s="12"/>
    </row>
    <row r="274" spans="2:7" x14ac:dyDescent="0.2">
      <c r="B274" s="20"/>
      <c r="C274" s="23"/>
      <c r="E274" s="10"/>
      <c r="F274" s="27"/>
      <c r="G274" s="12"/>
    </row>
    <row r="275" spans="2:7" x14ac:dyDescent="0.2">
      <c r="B275" s="20"/>
      <c r="C275" s="23"/>
      <c r="E275" s="10"/>
      <c r="F275" s="27"/>
      <c r="G275" s="12"/>
    </row>
    <row r="276" spans="2:7" x14ac:dyDescent="0.2">
      <c r="B276" s="20"/>
      <c r="C276" s="23"/>
      <c r="D276" s="15"/>
      <c r="E276" s="10"/>
      <c r="F276" s="27"/>
      <c r="G276" s="12"/>
    </row>
    <row r="277" spans="2:7" x14ac:dyDescent="0.2">
      <c r="B277" s="20"/>
      <c r="C277" s="23"/>
      <c r="D277" s="15"/>
      <c r="E277" s="10"/>
      <c r="F277" s="27"/>
      <c r="G277" s="12"/>
    </row>
    <row r="278" spans="2:7" x14ac:dyDescent="0.2">
      <c r="B278" s="20"/>
      <c r="C278" s="23"/>
      <c r="E278" s="10"/>
      <c r="F278" s="27"/>
      <c r="G278" s="12"/>
    </row>
    <row r="279" spans="2:7" x14ac:dyDescent="0.2">
      <c r="B279" s="20"/>
      <c r="C279" s="23"/>
      <c r="E279" s="10"/>
      <c r="F279" s="27"/>
      <c r="G279" s="12"/>
    </row>
    <row r="280" spans="2:7" x14ac:dyDescent="0.2">
      <c r="B280" s="20"/>
      <c r="C280" s="23"/>
      <c r="E280" s="10"/>
      <c r="F280" s="27"/>
      <c r="G280" s="12"/>
    </row>
    <row r="281" spans="2:7" x14ac:dyDescent="0.2">
      <c r="B281" s="20"/>
      <c r="C281" s="23"/>
      <c r="E281" s="10"/>
      <c r="F281" s="27"/>
      <c r="G281" s="12"/>
    </row>
    <row r="282" spans="2:7" x14ac:dyDescent="0.2">
      <c r="B282" s="20"/>
      <c r="C282" s="23"/>
      <c r="E282" s="10"/>
      <c r="F282" s="27"/>
      <c r="G282" s="12"/>
    </row>
    <row r="283" spans="2:7" x14ac:dyDescent="0.2">
      <c r="B283" s="20"/>
      <c r="C283" s="23"/>
      <c r="E283" s="10"/>
      <c r="F283" s="27"/>
      <c r="G283" s="12"/>
    </row>
    <row r="284" spans="2:7" x14ac:dyDescent="0.2">
      <c r="B284" s="20"/>
      <c r="C284" s="23"/>
      <c r="E284" s="10"/>
      <c r="F284" s="27"/>
      <c r="G284" s="12"/>
    </row>
    <row r="285" spans="2:7" x14ac:dyDescent="0.2">
      <c r="B285" s="20"/>
      <c r="C285" s="23"/>
      <c r="D285" s="14"/>
      <c r="E285" s="10"/>
      <c r="F285" s="27"/>
      <c r="G285" s="12"/>
    </row>
    <row r="286" spans="2:7" x14ac:dyDescent="0.2">
      <c r="B286" s="20"/>
      <c r="C286" s="23"/>
      <c r="E286" s="10"/>
      <c r="F286" s="27"/>
      <c r="G286" s="12"/>
    </row>
    <row r="287" spans="2:7" x14ac:dyDescent="0.2">
      <c r="B287" s="20"/>
      <c r="C287" s="23"/>
      <c r="E287" s="10"/>
      <c r="F287" s="27"/>
      <c r="G287" s="12"/>
    </row>
    <row r="288" spans="2:7" x14ac:dyDescent="0.2">
      <c r="B288" s="20"/>
      <c r="C288" s="23"/>
      <c r="E288" s="10"/>
      <c r="F288" s="27"/>
      <c r="G288" s="12"/>
    </row>
    <row r="289" spans="2:7" x14ac:dyDescent="0.2">
      <c r="B289" s="20"/>
      <c r="C289" s="23"/>
      <c r="E289" s="10"/>
      <c r="F289" s="27"/>
      <c r="G289" s="12"/>
    </row>
    <row r="290" spans="2:7" x14ac:dyDescent="0.2">
      <c r="B290" s="20"/>
      <c r="C290" s="23"/>
      <c r="E290" s="10"/>
      <c r="F290" s="27"/>
      <c r="G290" s="12"/>
    </row>
    <row r="291" spans="2:7" x14ac:dyDescent="0.2">
      <c r="B291" s="20"/>
      <c r="C291" s="23"/>
      <c r="E291" s="10"/>
      <c r="F291" s="27"/>
      <c r="G291" s="12"/>
    </row>
    <row r="292" spans="2:7" x14ac:dyDescent="0.2">
      <c r="B292" s="20"/>
      <c r="C292" s="23"/>
      <c r="D292" s="14"/>
      <c r="E292" s="10"/>
      <c r="F292" s="27"/>
      <c r="G292" s="12"/>
    </row>
    <row r="293" spans="2:7" x14ac:dyDescent="0.2">
      <c r="B293" s="20"/>
      <c r="C293" s="23"/>
      <c r="E293" s="10"/>
      <c r="F293" s="27"/>
      <c r="G293" s="12"/>
    </row>
    <row r="294" spans="2:7" x14ac:dyDescent="0.2">
      <c r="B294" s="20"/>
      <c r="C294" s="23"/>
      <c r="E294" s="10"/>
      <c r="F294" s="27"/>
      <c r="G294" s="12"/>
    </row>
    <row r="295" spans="2:7" x14ac:dyDescent="0.2">
      <c r="B295" s="20"/>
      <c r="C295" s="23"/>
      <c r="E295" s="10"/>
      <c r="F295" s="27"/>
      <c r="G295" s="12"/>
    </row>
    <row r="296" spans="2:7" x14ac:dyDescent="0.2">
      <c r="B296" s="20"/>
      <c r="C296" s="23"/>
      <c r="E296" s="10"/>
      <c r="F296" s="27"/>
      <c r="G296" s="12"/>
    </row>
    <row r="297" spans="2:7" x14ac:dyDescent="0.2">
      <c r="B297" s="20"/>
      <c r="C297" s="23"/>
      <c r="E297" s="10"/>
      <c r="F297" s="27"/>
      <c r="G297" s="12"/>
    </row>
    <row r="298" spans="2:7" x14ac:dyDescent="0.2">
      <c r="B298" s="20"/>
      <c r="C298" s="23"/>
      <c r="E298" s="10"/>
      <c r="F298" s="27"/>
      <c r="G298" s="12"/>
    </row>
    <row r="299" spans="2:7" x14ac:dyDescent="0.2">
      <c r="B299" s="20"/>
      <c r="C299" s="23"/>
      <c r="E299" s="10"/>
      <c r="F299" s="27"/>
      <c r="G299" s="12"/>
    </row>
    <row r="300" spans="2:7" x14ac:dyDescent="0.2">
      <c r="B300" s="20"/>
      <c r="C300" s="23"/>
      <c r="E300" s="10"/>
      <c r="F300" s="27"/>
      <c r="G300" s="12"/>
    </row>
    <row r="301" spans="2:7" x14ac:dyDescent="0.2">
      <c r="B301" s="20"/>
      <c r="C301" s="23"/>
      <c r="E301" s="10"/>
      <c r="F301" s="27"/>
      <c r="G301" s="12"/>
    </row>
    <row r="302" spans="2:7" x14ac:dyDescent="0.2">
      <c r="B302" s="20"/>
      <c r="C302" s="23"/>
      <c r="E302" s="10"/>
      <c r="F302" s="27"/>
      <c r="G302" s="12"/>
    </row>
    <row r="303" spans="2:7" x14ac:dyDescent="0.2">
      <c r="B303" s="20"/>
      <c r="C303" s="23"/>
      <c r="E303" s="10"/>
      <c r="F303" s="27"/>
      <c r="G303" s="12"/>
    </row>
    <row r="304" spans="2:7" x14ac:dyDescent="0.2">
      <c r="B304" s="20"/>
      <c r="C304" s="23"/>
      <c r="E304" s="10"/>
      <c r="F304" s="27"/>
      <c r="G304" s="12"/>
    </row>
    <row r="305" spans="2:7" x14ac:dyDescent="0.2">
      <c r="B305" s="20"/>
      <c r="C305" s="23"/>
      <c r="E305" s="10"/>
      <c r="F305" s="27"/>
      <c r="G305" s="12"/>
    </row>
    <row r="306" spans="2:7" x14ac:dyDescent="0.2">
      <c r="B306" s="20"/>
      <c r="C306" s="23"/>
      <c r="E306" s="10"/>
      <c r="F306" s="27"/>
      <c r="G306" s="12"/>
    </row>
    <row r="307" spans="2:7" x14ac:dyDescent="0.2">
      <c r="B307" s="20"/>
      <c r="C307" s="23"/>
      <c r="E307" s="10"/>
      <c r="F307" s="27"/>
      <c r="G307" s="12"/>
    </row>
    <row r="308" spans="2:7" x14ac:dyDescent="0.2">
      <c r="B308" s="20"/>
      <c r="C308" s="23"/>
      <c r="E308" s="10"/>
      <c r="F308" s="27"/>
      <c r="G308" s="12"/>
    </row>
    <row r="309" spans="2:7" x14ac:dyDescent="0.2">
      <c r="B309" s="20"/>
      <c r="C309" s="23"/>
      <c r="E309" s="10"/>
      <c r="F309" s="27"/>
      <c r="G309" s="12"/>
    </row>
    <row r="310" spans="2:7" x14ac:dyDescent="0.2">
      <c r="B310" s="20"/>
      <c r="C310" s="23"/>
      <c r="E310" s="10"/>
      <c r="F310" s="27"/>
      <c r="G310" s="12"/>
    </row>
    <row r="311" spans="2:7" x14ac:dyDescent="0.2">
      <c r="B311" s="20"/>
      <c r="C311" s="23"/>
      <c r="E311" s="10"/>
      <c r="F311" s="27"/>
      <c r="G311" s="12"/>
    </row>
    <row r="312" spans="2:7" x14ac:dyDescent="0.2">
      <c r="B312" s="20"/>
      <c r="C312" s="23"/>
      <c r="E312" s="10"/>
      <c r="F312" s="27"/>
      <c r="G312" s="12"/>
    </row>
    <row r="313" spans="2:7" x14ac:dyDescent="0.2">
      <c r="B313" s="20"/>
      <c r="C313" s="23"/>
      <c r="E313" s="10"/>
      <c r="F313" s="27"/>
      <c r="G313" s="12"/>
    </row>
    <row r="314" spans="2:7" x14ac:dyDescent="0.2">
      <c r="B314" s="20"/>
      <c r="C314" s="23"/>
      <c r="E314" s="10"/>
      <c r="F314" s="27"/>
      <c r="G314" s="12"/>
    </row>
    <row r="315" spans="2:7" x14ac:dyDescent="0.2">
      <c r="B315" s="20"/>
      <c r="C315" s="23"/>
      <c r="E315" s="10"/>
      <c r="F315" s="27"/>
      <c r="G315" s="12"/>
    </row>
    <row r="316" spans="2:7" x14ac:dyDescent="0.2">
      <c r="B316" s="20"/>
      <c r="C316" s="23"/>
      <c r="E316" s="10"/>
      <c r="F316" s="27"/>
      <c r="G316" s="12"/>
    </row>
    <row r="317" spans="2:7" x14ac:dyDescent="0.2">
      <c r="B317" s="20"/>
      <c r="C317" s="23"/>
      <c r="E317" s="10"/>
      <c r="F317" s="27"/>
      <c r="G317" s="12"/>
    </row>
    <row r="318" spans="2:7" x14ac:dyDescent="0.2">
      <c r="B318" s="20"/>
      <c r="C318" s="23"/>
      <c r="D318" s="14"/>
      <c r="E318" s="10"/>
      <c r="F318" s="27"/>
      <c r="G318" s="12"/>
    </row>
    <row r="319" spans="2:7" x14ac:dyDescent="0.2">
      <c r="B319" s="20"/>
      <c r="C319" s="23"/>
      <c r="E319" s="10"/>
      <c r="F319" s="27"/>
      <c r="G319" s="12"/>
    </row>
    <row r="320" spans="2:7" x14ac:dyDescent="0.2">
      <c r="B320" s="20"/>
      <c r="C320" s="23"/>
      <c r="E320" s="10"/>
      <c r="F320" s="27"/>
      <c r="G320" s="12"/>
    </row>
    <row r="321" spans="2:7" x14ac:dyDescent="0.2">
      <c r="B321" s="20"/>
      <c r="C321" s="23"/>
      <c r="E321" s="10"/>
      <c r="F321" s="27"/>
      <c r="G321" s="12"/>
    </row>
    <row r="322" spans="2:7" x14ac:dyDescent="0.2">
      <c r="B322" s="20"/>
      <c r="C322" s="23"/>
      <c r="E322" s="10"/>
      <c r="F322" s="27"/>
      <c r="G322" s="12"/>
    </row>
    <row r="323" spans="2:7" x14ac:dyDescent="0.2">
      <c r="B323" s="20"/>
      <c r="C323" s="23"/>
      <c r="E323" s="10"/>
      <c r="F323" s="27"/>
      <c r="G323" s="12"/>
    </row>
    <row r="324" spans="2:7" x14ac:dyDescent="0.2">
      <c r="B324" s="20"/>
      <c r="C324" s="23"/>
      <c r="E324" s="10"/>
      <c r="F324" s="27"/>
      <c r="G324" s="12"/>
    </row>
    <row r="325" spans="2:7" x14ac:dyDescent="0.2">
      <c r="B325" s="20"/>
      <c r="C325" s="23"/>
      <c r="E325" s="10"/>
      <c r="F325" s="27"/>
      <c r="G325" s="12"/>
    </row>
    <row r="326" spans="2:7" x14ac:dyDescent="0.2">
      <c r="B326" s="20"/>
      <c r="C326" s="23"/>
      <c r="E326" s="10"/>
      <c r="F326" s="27"/>
      <c r="G326" s="12"/>
    </row>
    <row r="327" spans="2:7" x14ac:dyDescent="0.2">
      <c r="B327" s="20"/>
      <c r="C327" s="23"/>
      <c r="E327" s="10"/>
      <c r="F327" s="27"/>
      <c r="G327" s="12"/>
    </row>
    <row r="328" spans="2:7" x14ac:dyDescent="0.2">
      <c r="B328" s="20"/>
      <c r="C328" s="23"/>
      <c r="E328" s="10"/>
      <c r="F328" s="27"/>
      <c r="G328" s="12"/>
    </row>
    <row r="329" spans="2:7" x14ac:dyDescent="0.2">
      <c r="B329" s="20"/>
      <c r="C329" s="23"/>
      <c r="E329" s="10"/>
      <c r="F329" s="27"/>
      <c r="G329" s="12"/>
    </row>
    <row r="330" spans="2:7" x14ac:dyDescent="0.2">
      <c r="B330" s="20"/>
      <c r="C330" s="23"/>
      <c r="E330" s="10"/>
      <c r="F330" s="27"/>
      <c r="G330" s="12"/>
    </row>
    <row r="331" spans="2:7" x14ac:dyDescent="0.2">
      <c r="B331" s="20"/>
      <c r="C331" s="23"/>
      <c r="E331" s="10"/>
      <c r="F331" s="27"/>
      <c r="G331" s="12"/>
    </row>
    <row r="332" spans="2:7" x14ac:dyDescent="0.2">
      <c r="B332" s="20"/>
      <c r="C332" s="23"/>
      <c r="E332" s="10"/>
      <c r="F332" s="27"/>
      <c r="G332" s="12"/>
    </row>
    <row r="333" spans="2:7" x14ac:dyDescent="0.2">
      <c r="B333" s="20"/>
      <c r="C333" s="23"/>
      <c r="E333" s="10"/>
      <c r="F333" s="27"/>
      <c r="G333" s="12"/>
    </row>
    <row r="334" spans="2:7" x14ac:dyDescent="0.2">
      <c r="B334" s="20"/>
      <c r="C334" s="23"/>
      <c r="E334" s="10"/>
      <c r="F334" s="27"/>
      <c r="G334" s="12"/>
    </row>
    <row r="335" spans="2:7" x14ac:dyDescent="0.2">
      <c r="B335" s="20"/>
      <c r="C335" s="23"/>
      <c r="E335" s="10"/>
      <c r="F335" s="27"/>
      <c r="G335" s="12"/>
    </row>
    <row r="336" spans="2:7" x14ac:dyDescent="0.2">
      <c r="B336" s="20"/>
      <c r="C336" s="23"/>
      <c r="E336" s="10"/>
      <c r="F336" s="27"/>
      <c r="G336" s="12"/>
    </row>
    <row r="337" spans="2:7" x14ac:dyDescent="0.2">
      <c r="B337" s="20"/>
      <c r="C337" s="23"/>
      <c r="E337" s="10"/>
      <c r="F337" s="27"/>
      <c r="G337" s="12"/>
    </row>
    <row r="338" spans="2:7" x14ac:dyDescent="0.2">
      <c r="B338" s="20"/>
      <c r="C338" s="23"/>
      <c r="E338" s="10"/>
      <c r="F338" s="27"/>
      <c r="G338" s="12"/>
    </row>
    <row r="339" spans="2:7" x14ac:dyDescent="0.2">
      <c r="B339" s="20"/>
      <c r="C339" s="23"/>
      <c r="E339" s="10"/>
      <c r="F339" s="27"/>
      <c r="G339" s="12"/>
    </row>
    <row r="340" spans="2:7" x14ac:dyDescent="0.2">
      <c r="B340" s="20"/>
      <c r="C340" s="23"/>
      <c r="E340" s="10"/>
      <c r="F340" s="27"/>
      <c r="G340" s="12"/>
    </row>
    <row r="341" spans="2:7" x14ac:dyDescent="0.2">
      <c r="B341" s="20"/>
      <c r="C341" s="23"/>
      <c r="E341" s="10"/>
      <c r="F341" s="27"/>
      <c r="G341" s="12"/>
    </row>
    <row r="342" spans="2:7" x14ac:dyDescent="0.2">
      <c r="B342" s="20"/>
      <c r="C342" s="23"/>
      <c r="E342" s="10"/>
      <c r="F342" s="27"/>
      <c r="G342" s="12"/>
    </row>
    <row r="343" spans="2:7" x14ac:dyDescent="0.2">
      <c r="B343" s="20"/>
      <c r="C343" s="23"/>
      <c r="E343" s="10"/>
      <c r="F343" s="27"/>
      <c r="G343" s="12"/>
    </row>
    <row r="344" spans="2:7" x14ac:dyDescent="0.2">
      <c r="B344" s="20"/>
      <c r="C344" s="23"/>
      <c r="E344" s="10"/>
      <c r="F344" s="27"/>
      <c r="G344" s="12"/>
    </row>
    <row r="345" spans="2:7" x14ac:dyDescent="0.2">
      <c r="B345" s="20"/>
      <c r="C345" s="23"/>
      <c r="D345" s="15"/>
      <c r="E345" s="10"/>
      <c r="F345" s="27"/>
      <c r="G345" s="12"/>
    </row>
    <row r="346" spans="2:7" x14ac:dyDescent="0.2">
      <c r="B346" s="20"/>
      <c r="C346" s="23"/>
      <c r="E346" s="10"/>
      <c r="F346" s="27"/>
      <c r="G346" s="12"/>
    </row>
    <row r="347" spans="2:7" x14ac:dyDescent="0.2">
      <c r="B347" s="20"/>
      <c r="C347" s="23"/>
      <c r="E347" s="10"/>
      <c r="F347" s="27"/>
      <c r="G347" s="12"/>
    </row>
    <row r="348" spans="2:7" x14ac:dyDescent="0.2">
      <c r="B348" s="20"/>
      <c r="C348" s="23"/>
      <c r="D348" s="15"/>
      <c r="E348" s="10"/>
      <c r="F348" s="27"/>
      <c r="G348" s="12"/>
    </row>
    <row r="349" spans="2:7" x14ac:dyDescent="0.2">
      <c r="B349" s="20"/>
      <c r="C349" s="23"/>
      <c r="E349" s="10"/>
      <c r="F349" s="27"/>
      <c r="G349" s="12"/>
    </row>
    <row r="350" spans="2:7" x14ac:dyDescent="0.2">
      <c r="B350" s="20"/>
      <c r="C350" s="23"/>
      <c r="E350" s="10"/>
      <c r="F350" s="27"/>
      <c r="G350" s="12"/>
    </row>
    <row r="351" spans="2:7" x14ac:dyDescent="0.2">
      <c r="B351" s="20"/>
      <c r="C351" s="23"/>
      <c r="D351" s="14"/>
      <c r="E351" s="10"/>
      <c r="F351" s="27"/>
      <c r="G351" s="12"/>
    </row>
    <row r="352" spans="2:7" x14ac:dyDescent="0.2">
      <c r="B352" s="20"/>
      <c r="C352" s="23"/>
      <c r="E352" s="10"/>
      <c r="F352" s="27"/>
      <c r="G352" s="12"/>
    </row>
    <row r="353" spans="2:7" x14ac:dyDescent="0.2">
      <c r="B353" s="20"/>
      <c r="C353" s="23"/>
      <c r="E353" s="10"/>
      <c r="F353" s="27"/>
      <c r="G353" s="12"/>
    </row>
    <row r="354" spans="2:7" x14ac:dyDescent="0.2">
      <c r="B354" s="20"/>
      <c r="C354" s="23"/>
      <c r="E354" s="10"/>
      <c r="F354" s="27"/>
      <c r="G354" s="12"/>
    </row>
    <row r="355" spans="2:7" x14ac:dyDescent="0.2">
      <c r="B355" s="20"/>
      <c r="C355" s="23"/>
      <c r="E355" s="10"/>
      <c r="F355" s="27"/>
      <c r="G355" s="12"/>
    </row>
    <row r="356" spans="2:7" x14ac:dyDescent="0.2">
      <c r="B356" s="20"/>
      <c r="C356" s="23"/>
      <c r="E356" s="10"/>
      <c r="F356" s="27"/>
      <c r="G356" s="12"/>
    </row>
    <row r="357" spans="2:7" x14ac:dyDescent="0.2">
      <c r="B357" s="20"/>
      <c r="C357" s="23"/>
      <c r="D357" s="14"/>
      <c r="E357" s="10"/>
      <c r="F357" s="27"/>
      <c r="G357" s="12"/>
    </row>
    <row r="358" spans="2:7" x14ac:dyDescent="0.2">
      <c r="B358" s="20"/>
      <c r="C358" s="23"/>
      <c r="E358" s="10"/>
      <c r="F358" s="27"/>
      <c r="G358" s="12"/>
    </row>
    <row r="359" spans="2:7" x14ac:dyDescent="0.2">
      <c r="B359" s="20"/>
      <c r="C359" s="23"/>
      <c r="E359" s="10"/>
      <c r="F359" s="27"/>
      <c r="G359" s="12"/>
    </row>
    <row r="360" spans="2:7" x14ac:dyDescent="0.2">
      <c r="B360" s="20"/>
      <c r="C360" s="23"/>
      <c r="E360" s="10"/>
      <c r="F360" s="27"/>
      <c r="G360" s="12"/>
    </row>
    <row r="361" spans="2:7" x14ac:dyDescent="0.2">
      <c r="B361" s="20"/>
      <c r="C361" s="23"/>
      <c r="E361" s="10"/>
      <c r="F361" s="27"/>
      <c r="G361" s="12"/>
    </row>
    <row r="362" spans="2:7" x14ac:dyDescent="0.2">
      <c r="B362" s="20"/>
      <c r="C362" s="23"/>
      <c r="E362" s="10"/>
      <c r="F362" s="27"/>
      <c r="G362" s="12"/>
    </row>
    <row r="363" spans="2:7" x14ac:dyDescent="0.2">
      <c r="B363" s="20"/>
      <c r="C363" s="23"/>
      <c r="E363" s="10"/>
      <c r="F363" s="27"/>
      <c r="G363" s="12"/>
    </row>
    <row r="364" spans="2:7" x14ac:dyDescent="0.2">
      <c r="B364" s="20"/>
      <c r="C364" s="23"/>
      <c r="E364" s="10"/>
      <c r="F364" s="27"/>
      <c r="G364" s="12"/>
    </row>
    <row r="365" spans="2:7" x14ac:dyDescent="0.2">
      <c r="B365" s="20"/>
      <c r="C365" s="23"/>
      <c r="E365" s="10"/>
      <c r="F365" s="27"/>
      <c r="G365" s="12"/>
    </row>
    <row r="366" spans="2:7" x14ac:dyDescent="0.2">
      <c r="B366" s="20"/>
      <c r="C366" s="23"/>
      <c r="E366" s="10"/>
      <c r="F366" s="27"/>
      <c r="G366" s="12"/>
    </row>
    <row r="367" spans="2:7" x14ac:dyDescent="0.2">
      <c r="B367" s="20"/>
      <c r="C367" s="23"/>
      <c r="E367" s="10"/>
      <c r="F367" s="27"/>
      <c r="G367" s="12"/>
    </row>
    <row r="368" spans="2:7" x14ac:dyDescent="0.2">
      <c r="B368" s="20"/>
      <c r="C368" s="23"/>
      <c r="E368" s="10"/>
      <c r="F368" s="27"/>
      <c r="G368" s="12"/>
    </row>
    <row r="369" spans="2:7" x14ac:dyDescent="0.2">
      <c r="B369" s="20"/>
      <c r="C369" s="23"/>
      <c r="E369" s="10"/>
      <c r="F369" s="27"/>
      <c r="G369" s="12"/>
    </row>
    <row r="370" spans="2:7" x14ac:dyDescent="0.2">
      <c r="B370" s="20"/>
      <c r="C370" s="23"/>
      <c r="E370" s="10"/>
      <c r="F370" s="27"/>
      <c r="G370" s="12"/>
    </row>
    <row r="371" spans="2:7" x14ac:dyDescent="0.2">
      <c r="B371" s="20"/>
      <c r="C371" s="23"/>
      <c r="E371" s="10"/>
      <c r="F371" s="27"/>
      <c r="G371" s="12"/>
    </row>
    <row r="372" spans="2:7" x14ac:dyDescent="0.2">
      <c r="B372" s="20"/>
      <c r="C372" s="23"/>
      <c r="E372" s="10"/>
      <c r="F372" s="27"/>
      <c r="G372" s="12"/>
    </row>
    <row r="373" spans="2:7" x14ac:dyDescent="0.2">
      <c r="B373" s="20"/>
      <c r="C373" s="23"/>
      <c r="E373" s="10"/>
      <c r="F373" s="27"/>
      <c r="G373" s="12"/>
    </row>
    <row r="374" spans="2:7" x14ac:dyDescent="0.2">
      <c r="B374" s="20"/>
      <c r="C374" s="23"/>
      <c r="E374" s="10"/>
      <c r="F374" s="27"/>
      <c r="G374" s="12"/>
    </row>
    <row r="375" spans="2:7" x14ac:dyDescent="0.2">
      <c r="B375" s="20"/>
      <c r="C375" s="23"/>
      <c r="E375" s="10"/>
      <c r="F375" s="27"/>
      <c r="G375" s="12"/>
    </row>
    <row r="376" spans="2:7" x14ac:dyDescent="0.2">
      <c r="B376" s="20"/>
      <c r="C376" s="23"/>
      <c r="E376" s="10"/>
      <c r="F376" s="27"/>
      <c r="G376" s="12"/>
    </row>
    <row r="377" spans="2:7" x14ac:dyDescent="0.2">
      <c r="B377" s="20"/>
      <c r="C377" s="23"/>
      <c r="E377" s="10"/>
      <c r="F377" s="27"/>
      <c r="G377" s="12"/>
    </row>
    <row r="378" spans="2:7" x14ac:dyDescent="0.2">
      <c r="B378" s="20"/>
      <c r="C378" s="23"/>
      <c r="E378" s="10"/>
      <c r="F378" s="27"/>
      <c r="G378" s="12"/>
    </row>
    <row r="379" spans="2:7" x14ac:dyDescent="0.2">
      <c r="B379" s="20"/>
      <c r="C379" s="23"/>
      <c r="E379" s="10"/>
      <c r="F379" s="27"/>
      <c r="G379" s="12"/>
    </row>
    <row r="380" spans="2:7" x14ac:dyDescent="0.2">
      <c r="B380" s="20"/>
      <c r="C380" s="23"/>
      <c r="E380" s="10"/>
      <c r="F380" s="27"/>
      <c r="G380" s="12"/>
    </row>
    <row r="381" spans="2:7" x14ac:dyDescent="0.2">
      <c r="B381" s="20"/>
      <c r="C381" s="23"/>
      <c r="E381" s="10"/>
      <c r="F381" s="27"/>
      <c r="G381" s="12"/>
    </row>
    <row r="382" spans="2:7" x14ac:dyDescent="0.2">
      <c r="B382" s="20"/>
      <c r="C382" s="23"/>
      <c r="E382" s="10"/>
      <c r="F382" s="27"/>
      <c r="G382" s="12"/>
    </row>
    <row r="383" spans="2:7" x14ac:dyDescent="0.2">
      <c r="B383" s="20"/>
      <c r="C383" s="23"/>
      <c r="E383" s="10"/>
      <c r="F383" s="27"/>
      <c r="G383" s="12"/>
    </row>
    <row r="384" spans="2:7" x14ac:dyDescent="0.2">
      <c r="B384" s="20"/>
      <c r="C384" s="23"/>
      <c r="E384" s="10"/>
      <c r="F384" s="27"/>
      <c r="G384" s="12"/>
    </row>
    <row r="385" spans="2:7" x14ac:dyDescent="0.2">
      <c r="B385" s="20"/>
      <c r="C385" s="23"/>
      <c r="E385" s="10"/>
      <c r="F385" s="27"/>
      <c r="G385" s="12"/>
    </row>
    <row r="386" spans="2:7" x14ac:dyDescent="0.2">
      <c r="B386" s="20"/>
      <c r="C386" s="23"/>
      <c r="E386" s="10"/>
      <c r="F386" s="27"/>
      <c r="G386" s="12"/>
    </row>
    <row r="387" spans="2:7" x14ac:dyDescent="0.2">
      <c r="B387" s="20"/>
      <c r="C387" s="23"/>
      <c r="E387" s="10"/>
      <c r="F387" s="27"/>
      <c r="G387" s="12"/>
    </row>
    <row r="388" spans="2:7" x14ac:dyDescent="0.2">
      <c r="B388" s="20"/>
      <c r="C388" s="23"/>
      <c r="E388" s="10"/>
      <c r="F388" s="27"/>
      <c r="G388" s="12"/>
    </row>
    <row r="389" spans="2:7" x14ac:dyDescent="0.2">
      <c r="B389" s="20"/>
      <c r="C389" s="23"/>
      <c r="E389" s="10"/>
      <c r="F389" s="27"/>
      <c r="G389" s="12"/>
    </row>
    <row r="390" spans="2:7" x14ac:dyDescent="0.2">
      <c r="B390" s="20"/>
      <c r="C390" s="23"/>
      <c r="E390" s="10"/>
      <c r="F390" s="27"/>
      <c r="G390" s="12"/>
    </row>
    <row r="391" spans="2:7" x14ac:dyDescent="0.2">
      <c r="B391" s="20"/>
      <c r="C391" s="23"/>
      <c r="E391" s="10"/>
      <c r="F391" s="27"/>
      <c r="G391" s="12"/>
    </row>
    <row r="392" spans="2:7" x14ac:dyDescent="0.2">
      <c r="B392" s="20"/>
      <c r="C392" s="23"/>
      <c r="E392" s="10"/>
      <c r="F392" s="27"/>
      <c r="G392" s="12"/>
    </row>
    <row r="393" spans="2:7" x14ac:dyDescent="0.2">
      <c r="B393" s="20"/>
      <c r="C393" s="23"/>
      <c r="E393" s="10"/>
      <c r="F393" s="27"/>
      <c r="G393" s="12"/>
    </row>
    <row r="394" spans="2:7" x14ac:dyDescent="0.2">
      <c r="B394" s="20"/>
      <c r="C394" s="23"/>
      <c r="E394" s="10"/>
      <c r="F394" s="27"/>
      <c r="G394" s="12"/>
    </row>
    <row r="395" spans="2:7" x14ac:dyDescent="0.2">
      <c r="B395" s="20"/>
      <c r="C395" s="23"/>
      <c r="E395" s="10"/>
      <c r="F395" s="27"/>
      <c r="G395" s="12"/>
    </row>
    <row r="396" spans="2:7" x14ac:dyDescent="0.2">
      <c r="B396" s="20"/>
      <c r="C396" s="23"/>
      <c r="E396" s="10"/>
      <c r="F396" s="27"/>
      <c r="G396" s="12"/>
    </row>
    <row r="397" spans="2:7" x14ac:dyDescent="0.2">
      <c r="B397" s="20"/>
      <c r="C397" s="23"/>
      <c r="E397" s="10"/>
      <c r="F397" s="27"/>
      <c r="G397" s="12"/>
    </row>
    <row r="398" spans="2:7" x14ac:dyDescent="0.2">
      <c r="B398" s="20"/>
      <c r="C398" s="23"/>
      <c r="E398" s="10"/>
      <c r="F398" s="27"/>
      <c r="G398" s="12"/>
    </row>
    <row r="399" spans="2:7" x14ac:dyDescent="0.2">
      <c r="B399" s="20"/>
      <c r="C399" s="23"/>
      <c r="E399" s="10"/>
      <c r="F399" s="27"/>
      <c r="G399" s="12"/>
    </row>
    <row r="400" spans="2:7" x14ac:dyDescent="0.2">
      <c r="B400" s="20"/>
      <c r="C400" s="23"/>
      <c r="D400" s="15"/>
      <c r="E400" s="10"/>
      <c r="F400" s="27"/>
      <c r="G400" s="12"/>
    </row>
    <row r="401" spans="2:7" x14ac:dyDescent="0.2">
      <c r="B401" s="20"/>
      <c r="C401" s="23"/>
      <c r="E401" s="10"/>
      <c r="F401" s="27"/>
      <c r="G401" s="12"/>
    </row>
    <row r="402" spans="2:7" x14ac:dyDescent="0.2">
      <c r="B402" s="20"/>
      <c r="C402" s="23"/>
      <c r="E402" s="10"/>
      <c r="F402" s="27"/>
      <c r="G402" s="12"/>
    </row>
    <row r="403" spans="2:7" x14ac:dyDescent="0.2">
      <c r="B403" s="20"/>
      <c r="C403" s="23"/>
      <c r="E403" s="10"/>
      <c r="F403" s="27"/>
      <c r="G403" s="12"/>
    </row>
    <row r="404" spans="2:7" x14ac:dyDescent="0.2">
      <c r="B404" s="20"/>
      <c r="C404" s="23"/>
      <c r="E404" s="10"/>
      <c r="F404" s="27"/>
      <c r="G404" s="12"/>
    </row>
    <row r="405" spans="2:7" x14ac:dyDescent="0.2">
      <c r="B405" s="20"/>
      <c r="C405" s="23"/>
      <c r="E405" s="10"/>
      <c r="F405" s="27"/>
      <c r="G405" s="12"/>
    </row>
    <row r="406" spans="2:7" x14ac:dyDescent="0.2">
      <c r="B406" s="20"/>
      <c r="C406" s="23"/>
      <c r="E406" s="10"/>
      <c r="F406" s="27"/>
      <c r="G406" s="12"/>
    </row>
    <row r="407" spans="2:7" x14ac:dyDescent="0.2">
      <c r="B407" s="20"/>
      <c r="C407" s="23"/>
      <c r="E407" s="10"/>
      <c r="F407" s="27"/>
      <c r="G407" s="12"/>
    </row>
    <row r="408" spans="2:7" x14ac:dyDescent="0.2">
      <c r="B408" s="20"/>
      <c r="C408" s="23"/>
      <c r="E408" s="10"/>
      <c r="F408" s="27"/>
      <c r="G408" s="12"/>
    </row>
    <row r="409" spans="2:7" x14ac:dyDescent="0.2">
      <c r="B409" s="20"/>
      <c r="C409" s="23"/>
      <c r="E409" s="10"/>
      <c r="F409" s="27"/>
      <c r="G409" s="12"/>
    </row>
    <row r="410" spans="2:7" x14ac:dyDescent="0.2">
      <c r="B410" s="20"/>
      <c r="C410" s="23"/>
      <c r="E410" s="10"/>
      <c r="F410" s="27"/>
      <c r="G410" s="12"/>
    </row>
    <row r="411" spans="2:7" x14ac:dyDescent="0.2">
      <c r="B411" s="20"/>
      <c r="C411" s="23"/>
      <c r="E411" s="10"/>
      <c r="F411" s="27"/>
      <c r="G411" s="12"/>
    </row>
    <row r="412" spans="2:7" x14ac:dyDescent="0.2">
      <c r="B412" s="20"/>
      <c r="C412" s="23"/>
      <c r="E412" s="10"/>
      <c r="F412" s="27"/>
      <c r="G412" s="12"/>
    </row>
    <row r="413" spans="2:7" x14ac:dyDescent="0.2">
      <c r="B413" s="20"/>
      <c r="C413" s="23"/>
      <c r="E413" s="10"/>
      <c r="F413" s="27"/>
      <c r="G413" s="12"/>
    </row>
    <row r="414" spans="2:7" x14ac:dyDescent="0.2">
      <c r="B414" s="20"/>
      <c r="C414" s="23"/>
      <c r="E414" s="10"/>
      <c r="F414" s="27"/>
      <c r="G414" s="12"/>
    </row>
    <row r="415" spans="2:7" x14ac:dyDescent="0.2">
      <c r="B415" s="20"/>
      <c r="C415" s="23"/>
      <c r="E415" s="10"/>
      <c r="F415" s="27"/>
      <c r="G415" s="12"/>
    </row>
    <row r="416" spans="2:7" x14ac:dyDescent="0.2">
      <c r="B416" s="20"/>
      <c r="C416" s="23"/>
      <c r="E416" s="10"/>
      <c r="F416" s="27"/>
      <c r="G416" s="12"/>
    </row>
    <row r="417" spans="2:7" x14ac:dyDescent="0.2">
      <c r="B417" s="20"/>
      <c r="C417" s="23"/>
      <c r="E417" s="10"/>
      <c r="F417" s="27"/>
      <c r="G417" s="12"/>
    </row>
    <row r="418" spans="2:7" x14ac:dyDescent="0.2">
      <c r="B418" s="20"/>
      <c r="C418" s="23"/>
      <c r="E418" s="10"/>
      <c r="F418" s="27"/>
      <c r="G418" s="12"/>
    </row>
    <row r="419" spans="2:7" x14ac:dyDescent="0.2">
      <c r="B419" s="20"/>
      <c r="C419" s="23"/>
      <c r="E419" s="10"/>
      <c r="F419" s="27"/>
      <c r="G419" s="12"/>
    </row>
    <row r="420" spans="2:7" x14ac:dyDescent="0.2">
      <c r="B420" s="20"/>
      <c r="C420" s="23"/>
      <c r="E420" s="10"/>
      <c r="F420" s="27"/>
      <c r="G420" s="12"/>
    </row>
    <row r="421" spans="2:7" x14ac:dyDescent="0.2">
      <c r="B421" s="20"/>
      <c r="C421" s="23"/>
      <c r="E421" s="10"/>
      <c r="F421" s="27"/>
      <c r="G421" s="12"/>
    </row>
    <row r="422" spans="2:7" x14ac:dyDescent="0.2">
      <c r="B422" s="20"/>
      <c r="C422" s="23"/>
      <c r="E422" s="10"/>
      <c r="F422" s="27"/>
      <c r="G422" s="12"/>
    </row>
    <row r="423" spans="2:7" x14ac:dyDescent="0.2">
      <c r="B423" s="20"/>
      <c r="C423" s="23"/>
      <c r="E423" s="10"/>
      <c r="F423" s="27"/>
      <c r="G423" s="12"/>
    </row>
    <row r="424" spans="2:7" x14ac:dyDescent="0.2">
      <c r="B424" s="20"/>
      <c r="C424" s="23"/>
      <c r="E424" s="10"/>
      <c r="F424" s="27"/>
      <c r="G424" s="12"/>
    </row>
    <row r="425" spans="2:7" x14ac:dyDescent="0.2">
      <c r="B425" s="20"/>
      <c r="C425" s="23"/>
      <c r="E425" s="10"/>
      <c r="F425" s="27"/>
      <c r="G425" s="12"/>
    </row>
    <row r="426" spans="2:7" x14ac:dyDescent="0.2">
      <c r="B426" s="20"/>
      <c r="C426" s="23"/>
      <c r="E426" s="10"/>
      <c r="F426" s="27"/>
      <c r="G426" s="12"/>
    </row>
    <row r="427" spans="2:7" x14ac:dyDescent="0.2">
      <c r="B427" s="20"/>
      <c r="C427" s="23"/>
      <c r="E427" s="10"/>
      <c r="F427" s="27"/>
      <c r="G427" s="12"/>
    </row>
    <row r="428" spans="2:7" x14ac:dyDescent="0.2">
      <c r="B428" s="20"/>
      <c r="C428" s="23"/>
      <c r="E428" s="10"/>
      <c r="F428" s="27"/>
      <c r="G428" s="12"/>
    </row>
    <row r="429" spans="2:7" x14ac:dyDescent="0.2">
      <c r="B429" s="20"/>
      <c r="C429" s="23"/>
      <c r="E429" s="10"/>
      <c r="F429" s="27"/>
      <c r="G429" s="12"/>
    </row>
    <row r="430" spans="2:7" x14ac:dyDescent="0.2">
      <c r="B430" s="20"/>
      <c r="C430" s="23"/>
      <c r="E430" s="10"/>
      <c r="F430" s="27"/>
      <c r="G430" s="12"/>
    </row>
    <row r="431" spans="2:7" x14ac:dyDescent="0.2">
      <c r="B431" s="20"/>
      <c r="C431" s="23"/>
      <c r="E431" s="10"/>
      <c r="F431" s="27"/>
      <c r="G431" s="12"/>
    </row>
    <row r="432" spans="2:7" x14ac:dyDescent="0.2">
      <c r="B432" s="20"/>
      <c r="C432" s="23"/>
      <c r="E432" s="10"/>
      <c r="F432" s="27"/>
      <c r="G432" s="12"/>
    </row>
    <row r="433" spans="2:7" x14ac:dyDescent="0.2">
      <c r="B433" s="20"/>
      <c r="C433" s="23"/>
      <c r="E433" s="10"/>
      <c r="F433" s="27"/>
      <c r="G433" s="12"/>
    </row>
    <row r="434" spans="2:7" x14ac:dyDescent="0.2">
      <c r="B434" s="20"/>
      <c r="C434" s="23"/>
      <c r="E434" s="10"/>
      <c r="F434" s="27"/>
      <c r="G434" s="12"/>
    </row>
    <row r="435" spans="2:7" x14ac:dyDescent="0.2">
      <c r="B435" s="20"/>
      <c r="C435" s="23"/>
      <c r="E435" s="10"/>
      <c r="F435" s="27"/>
      <c r="G435" s="12"/>
    </row>
    <row r="436" spans="2:7" x14ac:dyDescent="0.2">
      <c r="B436" s="20"/>
      <c r="C436" s="23"/>
      <c r="E436" s="10"/>
      <c r="F436" s="27"/>
      <c r="G436" s="12"/>
    </row>
    <row r="437" spans="2:7" x14ac:dyDescent="0.2">
      <c r="B437" s="20"/>
      <c r="C437" s="23"/>
      <c r="E437" s="10"/>
      <c r="F437" s="27"/>
      <c r="G437" s="12"/>
    </row>
    <row r="438" spans="2:7" x14ac:dyDescent="0.2">
      <c r="B438" s="20"/>
      <c r="C438" s="23"/>
      <c r="E438" s="10"/>
      <c r="F438" s="27"/>
      <c r="G438" s="12"/>
    </row>
    <row r="439" spans="2:7" x14ac:dyDescent="0.2">
      <c r="B439" s="20"/>
      <c r="C439" s="23"/>
      <c r="E439" s="10"/>
      <c r="F439" s="27"/>
      <c r="G439" s="12"/>
    </row>
    <row r="440" spans="2:7" x14ac:dyDescent="0.2">
      <c r="B440" s="20"/>
      <c r="C440" s="23"/>
      <c r="E440" s="10"/>
      <c r="F440" s="27"/>
      <c r="G440" s="12"/>
    </row>
    <row r="441" spans="2:7" x14ac:dyDescent="0.2">
      <c r="B441" s="20"/>
      <c r="C441" s="23"/>
      <c r="D441" s="17"/>
      <c r="E441" s="10"/>
      <c r="F441" s="27"/>
      <c r="G441" s="12"/>
    </row>
    <row r="442" spans="2:7" x14ac:dyDescent="0.2">
      <c r="B442" s="20"/>
      <c r="C442" s="23"/>
      <c r="E442" s="10"/>
      <c r="F442" s="27"/>
      <c r="G442" s="12"/>
    </row>
    <row r="443" spans="2:7" x14ac:dyDescent="0.2">
      <c r="B443" s="20"/>
      <c r="C443" s="23"/>
      <c r="E443" s="10"/>
      <c r="F443" s="27"/>
      <c r="G443" s="12"/>
    </row>
    <row r="444" spans="2:7" x14ac:dyDescent="0.2">
      <c r="B444" s="20"/>
      <c r="C444" s="23"/>
      <c r="E444" s="10"/>
      <c r="F444" s="27"/>
      <c r="G444" s="12"/>
    </row>
    <row r="445" spans="2:7" x14ac:dyDescent="0.2">
      <c r="B445" s="20"/>
      <c r="C445" s="23"/>
      <c r="E445" s="10"/>
      <c r="F445" s="27"/>
      <c r="G445" s="12"/>
    </row>
    <row r="446" spans="2:7" x14ac:dyDescent="0.2">
      <c r="B446" s="20"/>
      <c r="C446" s="23"/>
      <c r="E446" s="10"/>
      <c r="F446" s="27"/>
      <c r="G446" s="12"/>
    </row>
    <row r="447" spans="2:7" x14ac:dyDescent="0.2">
      <c r="B447" s="20"/>
      <c r="C447" s="23"/>
      <c r="E447" s="10"/>
      <c r="F447" s="27"/>
      <c r="G447" s="12"/>
    </row>
    <row r="448" spans="2:7" x14ac:dyDescent="0.2">
      <c r="B448" s="20"/>
      <c r="C448" s="23"/>
      <c r="E448" s="10"/>
      <c r="F448" s="27"/>
      <c r="G448" s="12"/>
    </row>
    <row r="449" spans="2:7" x14ac:dyDescent="0.2">
      <c r="B449" s="20"/>
      <c r="C449" s="23"/>
      <c r="E449" s="10"/>
      <c r="F449" s="27"/>
      <c r="G449" s="12"/>
    </row>
    <row r="450" spans="2:7" x14ac:dyDescent="0.2">
      <c r="B450" s="20"/>
      <c r="C450" s="23"/>
      <c r="E450" s="10"/>
      <c r="F450" s="27"/>
      <c r="G450" s="12"/>
    </row>
    <row r="451" spans="2:7" x14ac:dyDescent="0.2">
      <c r="B451" s="20"/>
      <c r="C451" s="23"/>
      <c r="D451" s="15"/>
      <c r="E451" s="10"/>
      <c r="F451" s="27"/>
      <c r="G451" s="12"/>
    </row>
    <row r="452" spans="2:7" x14ac:dyDescent="0.2">
      <c r="B452" s="20"/>
      <c r="C452" s="23"/>
      <c r="E452" s="10"/>
      <c r="F452" s="27"/>
      <c r="G452" s="12"/>
    </row>
    <row r="453" spans="2:7" x14ac:dyDescent="0.2">
      <c r="B453" s="20"/>
      <c r="C453" s="23"/>
      <c r="E453" s="10"/>
      <c r="F453" s="27"/>
      <c r="G453" s="12"/>
    </row>
    <row r="454" spans="2:7" x14ac:dyDescent="0.2">
      <c r="B454" s="20"/>
      <c r="C454" s="23"/>
      <c r="E454" s="10"/>
      <c r="F454" s="27"/>
      <c r="G454" s="12"/>
    </row>
    <row r="455" spans="2:7" x14ac:dyDescent="0.2">
      <c r="B455" s="20"/>
      <c r="C455" s="23"/>
      <c r="E455" s="10"/>
      <c r="F455" s="27"/>
      <c r="G455" s="12"/>
    </row>
    <row r="456" spans="2:7" x14ac:dyDescent="0.2">
      <c r="B456" s="20"/>
      <c r="C456" s="23"/>
      <c r="E456" s="10"/>
      <c r="F456" s="27"/>
      <c r="G456" s="12"/>
    </row>
    <row r="457" spans="2:7" x14ac:dyDescent="0.2">
      <c r="B457" s="20"/>
      <c r="C457" s="23"/>
      <c r="E457" s="10"/>
      <c r="F457" s="27"/>
      <c r="G457" s="12"/>
    </row>
    <row r="458" spans="2:7" x14ac:dyDescent="0.2">
      <c r="B458" s="20"/>
      <c r="C458" s="23"/>
      <c r="E458" s="10"/>
      <c r="F458" s="27"/>
      <c r="G458" s="12"/>
    </row>
    <row r="459" spans="2:7" x14ac:dyDescent="0.2">
      <c r="B459" s="20"/>
      <c r="C459" s="23"/>
      <c r="E459" s="10"/>
      <c r="F459" s="27"/>
      <c r="G459" s="12"/>
    </row>
    <row r="460" spans="2:7" x14ac:dyDescent="0.2">
      <c r="B460" s="20"/>
      <c r="C460" s="23"/>
      <c r="E460" s="10"/>
      <c r="F460" s="27"/>
      <c r="G460" s="12"/>
    </row>
    <row r="461" spans="2:7" x14ac:dyDescent="0.2">
      <c r="B461" s="20"/>
      <c r="C461" s="23"/>
      <c r="E461" s="10"/>
      <c r="F461" s="27"/>
      <c r="G461" s="12"/>
    </row>
    <row r="462" spans="2:7" x14ac:dyDescent="0.2">
      <c r="B462" s="20"/>
      <c r="C462" s="23"/>
      <c r="E462" s="10"/>
      <c r="F462" s="27"/>
      <c r="G462" s="12"/>
    </row>
    <row r="463" spans="2:7" x14ac:dyDescent="0.2">
      <c r="B463" s="20"/>
      <c r="C463" s="23"/>
      <c r="E463" s="10"/>
      <c r="F463" s="27"/>
      <c r="G463" s="12"/>
    </row>
    <row r="464" spans="2:7" x14ac:dyDescent="0.2">
      <c r="B464" s="20"/>
      <c r="C464" s="23"/>
      <c r="E464" s="10"/>
      <c r="F464" s="27"/>
      <c r="G464" s="12"/>
    </row>
    <row r="465" spans="2:7" x14ac:dyDescent="0.2">
      <c r="B465" s="20"/>
      <c r="C465" s="23"/>
      <c r="E465" s="10"/>
      <c r="F465" s="27"/>
      <c r="G465" s="12"/>
    </row>
    <row r="466" spans="2:7" x14ac:dyDescent="0.2">
      <c r="B466" s="20"/>
      <c r="C466" s="23"/>
      <c r="E466" s="10"/>
      <c r="F466" s="27"/>
      <c r="G466" s="12"/>
    </row>
    <row r="467" spans="2:7" x14ac:dyDescent="0.2">
      <c r="B467" s="20"/>
      <c r="C467" s="23"/>
      <c r="E467" s="10"/>
      <c r="F467" s="27"/>
      <c r="G467" s="12"/>
    </row>
    <row r="468" spans="2:7" x14ac:dyDescent="0.2">
      <c r="B468" s="20"/>
      <c r="C468" s="23"/>
      <c r="E468" s="10"/>
      <c r="F468" s="27"/>
      <c r="G468" s="12"/>
    </row>
    <row r="469" spans="2:7" x14ac:dyDescent="0.2">
      <c r="B469" s="20"/>
      <c r="C469" s="23"/>
      <c r="D469" s="15"/>
      <c r="E469" s="10"/>
      <c r="F469" s="27"/>
      <c r="G469" s="12"/>
    </row>
    <row r="470" spans="2:7" x14ac:dyDescent="0.2">
      <c r="B470" s="20"/>
      <c r="C470" s="23"/>
      <c r="E470" s="10"/>
      <c r="F470" s="27"/>
      <c r="G470" s="12"/>
    </row>
    <row r="471" spans="2:7" x14ac:dyDescent="0.2">
      <c r="B471" s="20"/>
      <c r="C471" s="23"/>
      <c r="E471" s="10"/>
      <c r="F471" s="27"/>
      <c r="G471" s="12"/>
    </row>
    <row r="472" spans="2:7" x14ac:dyDescent="0.2">
      <c r="B472" s="20"/>
      <c r="C472" s="23"/>
      <c r="D472" s="14"/>
      <c r="E472" s="10"/>
      <c r="F472" s="27"/>
      <c r="G472" s="12"/>
    </row>
    <row r="473" spans="2:7" x14ac:dyDescent="0.2">
      <c r="B473" s="20"/>
      <c r="C473" s="23"/>
      <c r="D473" s="14"/>
      <c r="E473" s="10"/>
      <c r="F473" s="27"/>
      <c r="G473" s="12"/>
    </row>
    <row r="474" spans="2:7" x14ac:dyDescent="0.2">
      <c r="B474" s="20"/>
      <c r="C474" s="23"/>
      <c r="E474" s="10"/>
      <c r="F474" s="27"/>
      <c r="G474" s="12"/>
    </row>
    <row r="475" spans="2:7" x14ac:dyDescent="0.2">
      <c r="B475" s="20"/>
      <c r="C475" s="23"/>
      <c r="E475" s="10"/>
      <c r="F475" s="27"/>
      <c r="G475" s="12"/>
    </row>
    <row r="476" spans="2:7" x14ac:dyDescent="0.2">
      <c r="B476" s="20"/>
      <c r="C476" s="23"/>
      <c r="E476" s="10"/>
      <c r="F476" s="27"/>
      <c r="G476" s="12"/>
    </row>
    <row r="477" spans="2:7" x14ac:dyDescent="0.2">
      <c r="B477" s="20"/>
      <c r="C477" s="23"/>
      <c r="E477" s="10"/>
      <c r="F477" s="27"/>
      <c r="G477" s="12"/>
    </row>
    <row r="478" spans="2:7" x14ac:dyDescent="0.2">
      <c r="B478" s="20"/>
      <c r="C478" s="23"/>
      <c r="E478" s="10"/>
      <c r="F478" s="27"/>
      <c r="G478" s="12"/>
    </row>
    <row r="479" spans="2:7" x14ac:dyDescent="0.2">
      <c r="B479" s="20"/>
      <c r="C479" s="23"/>
      <c r="E479" s="10"/>
      <c r="F479" s="27"/>
      <c r="G479" s="12"/>
    </row>
    <row r="480" spans="2:7" x14ac:dyDescent="0.2">
      <c r="B480" s="20"/>
      <c r="C480" s="23"/>
      <c r="E480" s="10"/>
      <c r="F480" s="27"/>
      <c r="G480" s="12"/>
    </row>
    <row r="481" spans="2:7" x14ac:dyDescent="0.2">
      <c r="B481" s="20"/>
      <c r="C481" s="23"/>
      <c r="E481" s="10"/>
      <c r="F481" s="27"/>
      <c r="G481" s="12"/>
    </row>
    <row r="482" spans="2:7" x14ac:dyDescent="0.2">
      <c r="B482" s="20"/>
      <c r="C482" s="23"/>
      <c r="E482" s="10"/>
      <c r="F482" s="27"/>
      <c r="G482" s="12"/>
    </row>
    <row r="483" spans="2:7" x14ac:dyDescent="0.2">
      <c r="B483" s="20"/>
      <c r="C483" s="23"/>
      <c r="E483" s="10"/>
      <c r="F483" s="27"/>
      <c r="G483" s="12"/>
    </row>
    <row r="484" spans="2:7" x14ac:dyDescent="0.2">
      <c r="B484" s="20"/>
      <c r="C484" s="23"/>
      <c r="E484" s="10"/>
      <c r="F484" s="27"/>
      <c r="G484" s="12"/>
    </row>
    <row r="485" spans="2:7" x14ac:dyDescent="0.2">
      <c r="B485" s="20"/>
      <c r="C485" s="23"/>
      <c r="E485" s="10"/>
      <c r="F485" s="27"/>
      <c r="G485" s="12"/>
    </row>
    <row r="486" spans="2:7" x14ac:dyDescent="0.2">
      <c r="B486" s="20"/>
      <c r="C486" s="23"/>
      <c r="E486" s="10"/>
      <c r="F486" s="27"/>
      <c r="G486" s="12"/>
    </row>
    <row r="487" spans="2:7" x14ac:dyDescent="0.2">
      <c r="B487" s="20"/>
      <c r="C487" s="23"/>
      <c r="E487" s="10"/>
      <c r="F487" s="27"/>
      <c r="G487" s="12"/>
    </row>
    <row r="488" spans="2:7" x14ac:dyDescent="0.2">
      <c r="B488" s="20"/>
      <c r="C488" s="23"/>
      <c r="E488" s="10"/>
      <c r="F488" s="27"/>
      <c r="G488" s="12"/>
    </row>
    <row r="489" spans="2:7" x14ac:dyDescent="0.2">
      <c r="B489" s="20"/>
      <c r="C489" s="23"/>
      <c r="E489" s="10"/>
      <c r="F489" s="27"/>
      <c r="G489" s="12"/>
    </row>
    <row r="490" spans="2:7" x14ac:dyDescent="0.2">
      <c r="B490" s="20"/>
      <c r="C490" s="23"/>
      <c r="E490" s="10"/>
      <c r="F490" s="27"/>
      <c r="G490" s="12"/>
    </row>
    <row r="491" spans="2:7" x14ac:dyDescent="0.2">
      <c r="B491" s="20"/>
      <c r="C491" s="23"/>
      <c r="E491" s="10"/>
      <c r="F491" s="27"/>
      <c r="G491" s="12"/>
    </row>
    <row r="492" spans="2:7" x14ac:dyDescent="0.2">
      <c r="B492" s="20"/>
      <c r="C492" s="23"/>
      <c r="E492" s="10"/>
      <c r="F492" s="27"/>
      <c r="G492" s="12"/>
    </row>
    <row r="493" spans="2:7" x14ac:dyDescent="0.2">
      <c r="B493" s="20"/>
      <c r="C493" s="23"/>
      <c r="E493" s="10"/>
      <c r="F493" s="27"/>
      <c r="G493" s="12"/>
    </row>
    <row r="494" spans="2:7" x14ac:dyDescent="0.2">
      <c r="B494" s="20"/>
      <c r="C494" s="23"/>
      <c r="E494" s="10"/>
      <c r="F494" s="27"/>
      <c r="G494" s="12"/>
    </row>
    <row r="495" spans="2:7" x14ac:dyDescent="0.2">
      <c r="B495" s="20"/>
      <c r="C495" s="23"/>
      <c r="E495" s="10"/>
      <c r="F495" s="27"/>
      <c r="G495" s="12"/>
    </row>
    <row r="496" spans="2:7" x14ac:dyDescent="0.2">
      <c r="B496" s="20"/>
      <c r="C496" s="23"/>
      <c r="E496" s="10"/>
      <c r="F496" s="27"/>
      <c r="G496" s="12"/>
    </row>
    <row r="497" spans="2:7" x14ac:dyDescent="0.2">
      <c r="B497" s="20"/>
      <c r="C497" s="23"/>
      <c r="E497" s="10"/>
      <c r="F497" s="27"/>
      <c r="G497" s="12"/>
    </row>
    <row r="498" spans="2:7" x14ac:dyDescent="0.2">
      <c r="B498" s="20"/>
      <c r="C498" s="23"/>
      <c r="E498" s="10"/>
      <c r="F498" s="27"/>
      <c r="G498" s="12"/>
    </row>
    <row r="499" spans="2:7" x14ac:dyDescent="0.2">
      <c r="B499" s="20"/>
      <c r="C499" s="23"/>
      <c r="E499" s="10"/>
      <c r="F499" s="27"/>
      <c r="G499" s="12"/>
    </row>
    <row r="500" spans="2:7" x14ac:dyDescent="0.2">
      <c r="B500" s="20"/>
      <c r="C500" s="23"/>
      <c r="E500" s="10"/>
      <c r="F500" s="27"/>
      <c r="G500" s="12"/>
    </row>
    <row r="501" spans="2:7" x14ac:dyDescent="0.2">
      <c r="B501" s="20"/>
      <c r="C501" s="23"/>
      <c r="E501" s="10"/>
      <c r="F501" s="27"/>
      <c r="G501" s="12"/>
    </row>
    <row r="502" spans="2:7" x14ac:dyDescent="0.2">
      <c r="B502" s="20"/>
      <c r="C502" s="23"/>
      <c r="E502" s="10"/>
      <c r="F502" s="27"/>
      <c r="G502" s="12"/>
    </row>
    <row r="503" spans="2:7" x14ac:dyDescent="0.2">
      <c r="B503" s="20"/>
      <c r="C503" s="23"/>
      <c r="E503" s="10"/>
      <c r="F503" s="27"/>
      <c r="G503" s="12"/>
    </row>
    <row r="504" spans="2:7" x14ac:dyDescent="0.2">
      <c r="B504" s="20"/>
      <c r="C504" s="23"/>
      <c r="E504" s="10"/>
      <c r="F504" s="27"/>
      <c r="G504" s="12"/>
    </row>
    <row r="505" spans="2:7" x14ac:dyDescent="0.2">
      <c r="B505" s="20"/>
      <c r="C505" s="23"/>
      <c r="E505" s="10"/>
      <c r="F505" s="27"/>
      <c r="G505" s="12"/>
    </row>
    <row r="506" spans="2:7" x14ac:dyDescent="0.2">
      <c r="B506" s="20"/>
      <c r="C506" s="23"/>
      <c r="E506" s="10"/>
      <c r="F506" s="27"/>
      <c r="G506" s="12"/>
    </row>
    <row r="507" spans="2:7" x14ac:dyDescent="0.2">
      <c r="B507" s="20"/>
      <c r="C507" s="23"/>
      <c r="E507" s="10"/>
      <c r="F507" s="27"/>
      <c r="G507" s="12"/>
    </row>
    <row r="508" spans="2:7" x14ac:dyDescent="0.2">
      <c r="B508" s="20"/>
      <c r="C508" s="23"/>
      <c r="E508" s="10"/>
      <c r="F508" s="27"/>
      <c r="G508" s="12"/>
    </row>
    <row r="509" spans="2:7" x14ac:dyDescent="0.2">
      <c r="B509" s="20"/>
      <c r="C509" s="23"/>
      <c r="E509" s="10"/>
      <c r="F509" s="27"/>
      <c r="G509" s="12"/>
    </row>
    <row r="510" spans="2:7" x14ac:dyDescent="0.2">
      <c r="B510" s="20"/>
      <c r="C510" s="23"/>
      <c r="E510" s="10"/>
      <c r="F510" s="27"/>
      <c r="G510" s="12"/>
    </row>
    <row r="511" spans="2:7" x14ac:dyDescent="0.2">
      <c r="B511" s="20"/>
      <c r="C511" s="23"/>
      <c r="E511" s="10"/>
      <c r="F511" s="27"/>
      <c r="G511" s="12"/>
    </row>
    <row r="512" spans="2:7" x14ac:dyDescent="0.2">
      <c r="B512" s="20"/>
      <c r="C512" s="23"/>
      <c r="E512" s="10"/>
      <c r="F512" s="27"/>
      <c r="G512" s="12"/>
    </row>
    <row r="513" spans="2:7" x14ac:dyDescent="0.2">
      <c r="B513" s="20"/>
      <c r="C513" s="23"/>
      <c r="E513" s="10"/>
      <c r="F513" s="27"/>
      <c r="G513" s="12"/>
    </row>
    <row r="514" spans="2:7" x14ac:dyDescent="0.2">
      <c r="B514" s="20"/>
      <c r="C514" s="23"/>
      <c r="E514" s="10"/>
      <c r="F514" s="27"/>
      <c r="G514" s="12"/>
    </row>
    <row r="515" spans="2:7" x14ac:dyDescent="0.2">
      <c r="B515" s="20"/>
      <c r="C515" s="23"/>
      <c r="E515" s="10"/>
      <c r="F515" s="27"/>
      <c r="G515" s="12"/>
    </row>
    <row r="516" spans="2:7" x14ac:dyDescent="0.2">
      <c r="B516" s="20"/>
      <c r="C516" s="23"/>
      <c r="E516" s="10"/>
      <c r="F516" s="27"/>
      <c r="G516" s="12"/>
    </row>
    <row r="517" spans="2:7" x14ac:dyDescent="0.2">
      <c r="B517" s="20"/>
      <c r="C517" s="23"/>
      <c r="E517" s="10"/>
      <c r="F517" s="27"/>
      <c r="G517" s="12"/>
    </row>
    <row r="518" spans="2:7" x14ac:dyDescent="0.2">
      <c r="B518" s="20"/>
      <c r="C518" s="23"/>
      <c r="E518" s="10"/>
      <c r="F518" s="27"/>
      <c r="G518" s="12"/>
    </row>
    <row r="519" spans="2:7" x14ac:dyDescent="0.2">
      <c r="B519" s="20"/>
      <c r="C519" s="23"/>
      <c r="E519" s="10"/>
      <c r="F519" s="27"/>
      <c r="G519" s="12"/>
    </row>
    <row r="520" spans="2:7" x14ac:dyDescent="0.2">
      <c r="B520" s="20"/>
      <c r="C520" s="23"/>
      <c r="E520" s="10"/>
      <c r="F520" s="27"/>
      <c r="G520" s="12"/>
    </row>
    <row r="521" spans="2:7" x14ac:dyDescent="0.2">
      <c r="B521" s="20"/>
      <c r="C521" s="23"/>
      <c r="E521" s="10"/>
      <c r="F521" s="27"/>
      <c r="G521" s="12"/>
    </row>
    <row r="522" spans="2:7" x14ac:dyDescent="0.2">
      <c r="B522" s="20"/>
      <c r="C522" s="23"/>
      <c r="E522" s="10"/>
      <c r="F522" s="27"/>
      <c r="G522" s="12"/>
    </row>
    <row r="523" spans="2:7" x14ac:dyDescent="0.2">
      <c r="B523" s="20"/>
      <c r="C523" s="23"/>
      <c r="E523" s="10"/>
      <c r="F523" s="27"/>
      <c r="G523" s="12"/>
    </row>
    <row r="524" spans="2:7" x14ac:dyDescent="0.2">
      <c r="B524" s="20"/>
      <c r="C524" s="23"/>
      <c r="E524" s="10"/>
      <c r="F524" s="27"/>
      <c r="G524" s="12"/>
    </row>
    <row r="525" spans="2:7" x14ac:dyDescent="0.2">
      <c r="B525" s="20"/>
      <c r="C525" s="23"/>
      <c r="E525" s="10"/>
      <c r="F525" s="27"/>
      <c r="G525" s="12"/>
    </row>
    <row r="526" spans="2:7" x14ac:dyDescent="0.2">
      <c r="B526" s="20"/>
      <c r="C526" s="23"/>
      <c r="E526" s="10"/>
      <c r="F526" s="27"/>
      <c r="G526" s="12"/>
    </row>
    <row r="527" spans="2:7" x14ac:dyDescent="0.2">
      <c r="B527" s="20"/>
      <c r="C527" s="23"/>
      <c r="E527" s="10"/>
      <c r="F527" s="27"/>
      <c r="G527" s="12"/>
    </row>
    <row r="528" spans="2:7" x14ac:dyDescent="0.2">
      <c r="B528" s="20"/>
      <c r="C528" s="23"/>
      <c r="E528" s="10"/>
      <c r="F528" s="27"/>
      <c r="G528" s="12"/>
    </row>
    <row r="529" spans="2:7" x14ac:dyDescent="0.2">
      <c r="B529" s="20"/>
      <c r="C529" s="23"/>
      <c r="E529" s="10"/>
      <c r="F529" s="27"/>
      <c r="G529" s="12"/>
    </row>
    <row r="530" spans="2:7" x14ac:dyDescent="0.2">
      <c r="B530" s="20"/>
      <c r="C530" s="23"/>
      <c r="E530" s="10"/>
      <c r="F530" s="27"/>
      <c r="G530" s="12"/>
    </row>
    <row r="531" spans="2:7" x14ac:dyDescent="0.2">
      <c r="B531" s="20"/>
      <c r="C531" s="23"/>
      <c r="D531" s="15"/>
      <c r="E531" s="10"/>
      <c r="F531" s="27"/>
      <c r="G531" s="12"/>
    </row>
    <row r="532" spans="2:7" x14ac:dyDescent="0.2">
      <c r="B532" s="20"/>
      <c r="C532" s="23"/>
      <c r="E532" s="10"/>
      <c r="F532" s="27"/>
      <c r="G532" s="12"/>
    </row>
    <row r="533" spans="2:7" x14ac:dyDescent="0.2">
      <c r="B533" s="20"/>
      <c r="C533" s="23"/>
      <c r="E533" s="10"/>
      <c r="F533" s="27"/>
      <c r="G533" s="12"/>
    </row>
    <row r="534" spans="2:7" x14ac:dyDescent="0.2">
      <c r="B534" s="20"/>
      <c r="C534" s="23"/>
      <c r="E534" s="10"/>
      <c r="F534" s="27"/>
      <c r="G534" s="12"/>
    </row>
    <row r="535" spans="2:7" x14ac:dyDescent="0.2">
      <c r="B535" s="20"/>
      <c r="C535" s="23"/>
      <c r="D535" s="17"/>
      <c r="E535" s="10"/>
      <c r="F535" s="27"/>
      <c r="G535" s="12"/>
    </row>
    <row r="536" spans="2:7" x14ac:dyDescent="0.2">
      <c r="B536" s="20"/>
      <c r="C536" s="23"/>
      <c r="E536" s="10"/>
      <c r="F536" s="27"/>
      <c r="G536" s="12"/>
    </row>
    <row r="537" spans="2:7" x14ac:dyDescent="0.2">
      <c r="B537" s="20"/>
      <c r="C537" s="23"/>
      <c r="D537" s="17"/>
      <c r="E537" s="10"/>
      <c r="F537" s="27"/>
      <c r="G537" s="12"/>
    </row>
    <row r="538" spans="2:7" x14ac:dyDescent="0.2">
      <c r="B538" s="20"/>
      <c r="C538" s="23"/>
      <c r="E538" s="10"/>
      <c r="F538" s="27"/>
      <c r="G538" s="12"/>
    </row>
    <row r="539" spans="2:7" x14ac:dyDescent="0.2">
      <c r="B539" s="20"/>
      <c r="C539" s="23"/>
      <c r="E539" s="10"/>
      <c r="F539" s="27"/>
      <c r="G539" s="12"/>
    </row>
    <row r="540" spans="2:7" x14ac:dyDescent="0.2">
      <c r="B540" s="20"/>
      <c r="C540" s="23"/>
      <c r="E540" s="10"/>
      <c r="F540" s="27"/>
      <c r="G540" s="12"/>
    </row>
    <row r="541" spans="2:7" x14ac:dyDescent="0.2">
      <c r="B541" s="20"/>
      <c r="C541" s="23"/>
      <c r="E541" s="10"/>
      <c r="F541" s="27"/>
      <c r="G541" s="12"/>
    </row>
    <row r="542" spans="2:7" x14ac:dyDescent="0.2">
      <c r="B542" s="20"/>
      <c r="C542" s="23"/>
      <c r="E542" s="10"/>
      <c r="F542" s="27"/>
      <c r="G542" s="12"/>
    </row>
    <row r="543" spans="2:7" x14ac:dyDescent="0.2">
      <c r="B543" s="20"/>
      <c r="C543" s="23"/>
      <c r="E543" s="10"/>
      <c r="F543" s="27"/>
      <c r="G543" s="12"/>
    </row>
    <row r="544" spans="2:7" x14ac:dyDescent="0.2">
      <c r="B544" s="20"/>
      <c r="C544" s="23"/>
      <c r="E544" s="10"/>
      <c r="F544" s="27"/>
      <c r="G544" s="12"/>
    </row>
    <row r="545" spans="2:7" x14ac:dyDescent="0.2">
      <c r="B545" s="20"/>
      <c r="C545" s="23"/>
      <c r="E545" s="10"/>
      <c r="F545" s="27"/>
      <c r="G545" s="12"/>
    </row>
    <row r="546" spans="2:7" x14ac:dyDescent="0.2">
      <c r="B546" s="20"/>
      <c r="C546" s="23"/>
      <c r="E546" s="10"/>
      <c r="F546" s="27"/>
      <c r="G546" s="12"/>
    </row>
    <row r="547" spans="2:7" x14ac:dyDescent="0.2">
      <c r="B547" s="20"/>
      <c r="C547" s="23"/>
      <c r="E547" s="10"/>
      <c r="F547" s="27"/>
      <c r="G547" s="12"/>
    </row>
    <row r="548" spans="2:7" x14ac:dyDescent="0.2">
      <c r="B548" s="20"/>
      <c r="C548" s="23"/>
      <c r="E548" s="10"/>
      <c r="F548" s="27"/>
      <c r="G548" s="12"/>
    </row>
    <row r="549" spans="2:7" x14ac:dyDescent="0.2">
      <c r="B549" s="20"/>
      <c r="C549" s="23"/>
      <c r="E549" s="10"/>
      <c r="F549" s="27"/>
      <c r="G549" s="12"/>
    </row>
    <row r="550" spans="2:7" x14ac:dyDescent="0.2">
      <c r="B550" s="20"/>
      <c r="C550" s="23"/>
      <c r="E550" s="10"/>
      <c r="F550" s="27"/>
      <c r="G550" s="12"/>
    </row>
    <row r="551" spans="2:7" x14ac:dyDescent="0.2">
      <c r="B551" s="20"/>
      <c r="C551" s="23"/>
      <c r="E551" s="10"/>
      <c r="F551" s="27"/>
      <c r="G551" s="12"/>
    </row>
    <row r="552" spans="2:7" x14ac:dyDescent="0.2">
      <c r="B552" s="20"/>
      <c r="C552" s="23"/>
      <c r="E552" s="10"/>
      <c r="F552" s="27"/>
      <c r="G552" s="12"/>
    </row>
    <row r="553" spans="2:7" x14ac:dyDescent="0.2">
      <c r="B553" s="20"/>
      <c r="C553" s="23"/>
      <c r="E553" s="10"/>
      <c r="F553" s="27"/>
      <c r="G553" s="12"/>
    </row>
    <row r="554" spans="2:7" x14ac:dyDescent="0.2">
      <c r="B554" s="20"/>
      <c r="C554" s="23"/>
      <c r="E554" s="10"/>
      <c r="F554" s="27"/>
      <c r="G554" s="12"/>
    </row>
    <row r="555" spans="2:7" x14ac:dyDescent="0.2">
      <c r="B555" s="20"/>
      <c r="C555" s="23"/>
      <c r="E555" s="10"/>
      <c r="F555" s="27"/>
      <c r="G555" s="12"/>
    </row>
    <row r="556" spans="2:7" x14ac:dyDescent="0.2">
      <c r="B556" s="20"/>
      <c r="C556" s="23"/>
      <c r="E556" s="10"/>
      <c r="F556" s="27"/>
      <c r="G556" s="12"/>
    </row>
    <row r="557" spans="2:7" x14ac:dyDescent="0.2">
      <c r="B557" s="20"/>
      <c r="C557" s="23"/>
      <c r="E557" s="10"/>
      <c r="F557" s="27"/>
      <c r="G557" s="12"/>
    </row>
    <row r="558" spans="2:7" x14ac:dyDescent="0.2">
      <c r="B558" s="20"/>
      <c r="C558" s="23"/>
      <c r="E558" s="10"/>
      <c r="F558" s="27"/>
      <c r="G558" s="12"/>
    </row>
    <row r="559" spans="2:7" x14ac:dyDescent="0.2">
      <c r="B559" s="20"/>
      <c r="C559" s="23"/>
      <c r="E559" s="10"/>
      <c r="F559" s="27"/>
      <c r="G559" s="12"/>
    </row>
    <row r="560" spans="2:7" x14ac:dyDescent="0.2">
      <c r="B560" s="20"/>
      <c r="C560" s="23"/>
      <c r="E560" s="10"/>
      <c r="F560" s="27"/>
      <c r="G560" s="12"/>
    </row>
    <row r="561" spans="2:7" x14ac:dyDescent="0.2">
      <c r="B561" s="20"/>
      <c r="C561" s="23"/>
      <c r="E561" s="10"/>
      <c r="F561" s="27"/>
      <c r="G561" s="12"/>
    </row>
    <row r="562" spans="2:7" x14ac:dyDescent="0.2">
      <c r="B562" s="20"/>
      <c r="C562" s="23"/>
      <c r="E562" s="10"/>
      <c r="F562" s="27"/>
      <c r="G562" s="12"/>
    </row>
    <row r="563" spans="2:7" x14ac:dyDescent="0.2">
      <c r="B563" s="20"/>
      <c r="C563" s="23"/>
      <c r="E563" s="10"/>
      <c r="F563" s="27"/>
      <c r="G563" s="12"/>
    </row>
    <row r="564" spans="2:7" x14ac:dyDescent="0.2">
      <c r="B564" s="20"/>
      <c r="C564" s="23"/>
      <c r="D564" s="17"/>
      <c r="E564" s="10"/>
      <c r="F564" s="27"/>
      <c r="G564" s="12"/>
    </row>
    <row r="565" spans="2:7" x14ac:dyDescent="0.2">
      <c r="B565" s="20"/>
      <c r="C565" s="23"/>
      <c r="D565" s="17"/>
      <c r="E565" s="10"/>
      <c r="F565" s="27"/>
      <c r="G565" s="12"/>
    </row>
    <row r="566" spans="2:7" x14ac:dyDescent="0.2">
      <c r="B566" s="20"/>
      <c r="C566" s="23"/>
      <c r="E566" s="10"/>
      <c r="F566" s="27"/>
      <c r="G566" s="12"/>
    </row>
    <row r="567" spans="2:7" x14ac:dyDescent="0.2">
      <c r="B567" s="20"/>
      <c r="C567" s="23"/>
      <c r="E567" s="10"/>
      <c r="F567" s="27"/>
      <c r="G567" s="12"/>
    </row>
    <row r="568" spans="2:7" x14ac:dyDescent="0.2">
      <c r="B568" s="20"/>
      <c r="C568" s="23"/>
      <c r="E568" s="10"/>
      <c r="F568" s="27"/>
      <c r="G568" s="12"/>
    </row>
    <row r="569" spans="2:7" x14ac:dyDescent="0.2">
      <c r="B569" s="20"/>
      <c r="C569" s="23"/>
      <c r="E569" s="10"/>
      <c r="F569" s="27"/>
      <c r="G569" s="12"/>
    </row>
    <row r="570" spans="2:7" x14ac:dyDescent="0.2">
      <c r="B570" s="20"/>
      <c r="C570" s="23"/>
      <c r="E570" s="10"/>
      <c r="F570" s="27"/>
      <c r="G570" s="12"/>
    </row>
    <row r="571" spans="2:7" x14ac:dyDescent="0.2">
      <c r="B571" s="20"/>
      <c r="C571" s="23"/>
      <c r="E571" s="10"/>
      <c r="F571" s="27"/>
      <c r="G571" s="12"/>
    </row>
    <row r="572" spans="2:7" x14ac:dyDescent="0.2">
      <c r="B572" s="20"/>
      <c r="C572" s="23"/>
      <c r="E572" s="10"/>
      <c r="F572" s="27"/>
      <c r="G572" s="12"/>
    </row>
    <row r="573" spans="2:7" x14ac:dyDescent="0.2">
      <c r="B573" s="20"/>
      <c r="C573" s="23"/>
      <c r="E573" s="10"/>
      <c r="F573" s="27"/>
      <c r="G573" s="12"/>
    </row>
    <row r="574" spans="2:7" x14ac:dyDescent="0.2">
      <c r="B574" s="20"/>
      <c r="C574" s="23"/>
      <c r="E574" s="10"/>
      <c r="F574" s="27"/>
      <c r="G574" s="12"/>
    </row>
    <row r="575" spans="2:7" x14ac:dyDescent="0.2">
      <c r="B575" s="20"/>
      <c r="C575" s="23"/>
      <c r="E575" s="10"/>
      <c r="F575" s="27"/>
      <c r="G575" s="12"/>
    </row>
    <row r="576" spans="2:7" x14ac:dyDescent="0.2">
      <c r="B576" s="20"/>
      <c r="C576" s="23"/>
      <c r="E576" s="10"/>
      <c r="F576" s="27"/>
      <c r="G576" s="12"/>
    </row>
    <row r="577" spans="2:7" x14ac:dyDescent="0.2">
      <c r="B577" s="20"/>
      <c r="C577" s="23"/>
      <c r="E577" s="10"/>
      <c r="F577" s="27"/>
      <c r="G577" s="12"/>
    </row>
    <row r="578" spans="2:7" x14ac:dyDescent="0.2">
      <c r="B578" s="20"/>
      <c r="C578" s="23"/>
      <c r="E578" s="10"/>
      <c r="F578" s="27"/>
      <c r="G578" s="12"/>
    </row>
    <row r="579" spans="2:7" x14ac:dyDescent="0.2">
      <c r="B579" s="20"/>
      <c r="C579" s="23"/>
      <c r="E579" s="10"/>
      <c r="F579" s="27"/>
      <c r="G579" s="12"/>
    </row>
    <row r="580" spans="2:7" x14ac:dyDescent="0.2">
      <c r="B580" s="20"/>
      <c r="C580" s="23"/>
      <c r="E580" s="10"/>
      <c r="F580" s="27"/>
      <c r="G580" s="12"/>
    </row>
    <row r="581" spans="2:7" x14ac:dyDescent="0.2">
      <c r="B581" s="20"/>
      <c r="C581" s="23"/>
      <c r="E581" s="10"/>
      <c r="F581" s="27"/>
      <c r="G581" s="12"/>
    </row>
    <row r="582" spans="2:7" x14ac:dyDescent="0.2">
      <c r="B582" s="20"/>
      <c r="C582" s="23"/>
      <c r="E582" s="10"/>
      <c r="F582" s="27"/>
      <c r="G582" s="12"/>
    </row>
    <row r="583" spans="2:7" x14ac:dyDescent="0.2">
      <c r="B583" s="20"/>
      <c r="C583" s="23"/>
      <c r="E583" s="10"/>
      <c r="F583" s="27"/>
      <c r="G583" s="12"/>
    </row>
    <row r="584" spans="2:7" x14ac:dyDescent="0.2">
      <c r="B584" s="20"/>
      <c r="C584" s="23"/>
      <c r="E584" s="10"/>
      <c r="F584" s="27"/>
      <c r="G584" s="12"/>
    </row>
    <row r="585" spans="2:7" x14ac:dyDescent="0.2">
      <c r="B585" s="20"/>
      <c r="C585" s="23"/>
      <c r="E585" s="10"/>
      <c r="F585" s="27"/>
      <c r="G585" s="12"/>
    </row>
    <row r="586" spans="2:7" x14ac:dyDescent="0.2">
      <c r="B586" s="20"/>
      <c r="C586" s="23"/>
      <c r="E586" s="10"/>
      <c r="F586" s="27"/>
      <c r="G586" s="12"/>
    </row>
    <row r="587" spans="2:7" x14ac:dyDescent="0.2">
      <c r="B587" s="20"/>
      <c r="C587" s="23"/>
      <c r="E587" s="10"/>
      <c r="F587" s="27"/>
      <c r="G587" s="12"/>
    </row>
    <row r="588" spans="2:7" x14ac:dyDescent="0.2">
      <c r="B588" s="20"/>
      <c r="C588" s="23"/>
      <c r="E588" s="10"/>
      <c r="F588" s="27"/>
      <c r="G588" s="12"/>
    </row>
    <row r="589" spans="2:7" x14ac:dyDescent="0.2">
      <c r="B589" s="20"/>
      <c r="C589" s="23"/>
      <c r="E589" s="10"/>
      <c r="F589" s="27"/>
      <c r="G589" s="12"/>
    </row>
    <row r="590" spans="2:7" x14ac:dyDescent="0.2">
      <c r="B590" s="20"/>
      <c r="C590" s="23"/>
      <c r="E590" s="10"/>
      <c r="F590" s="27"/>
      <c r="G590" s="12"/>
    </row>
    <row r="591" spans="2:7" x14ac:dyDescent="0.2">
      <c r="B591" s="20"/>
      <c r="C591" s="23"/>
      <c r="E591" s="10"/>
      <c r="F591" s="27"/>
      <c r="G591" s="12"/>
    </row>
    <row r="592" spans="2:7" x14ac:dyDescent="0.2">
      <c r="B592" s="20"/>
      <c r="C592" s="23"/>
      <c r="E592" s="10"/>
      <c r="F592" s="27"/>
      <c r="G592" s="12"/>
    </row>
    <row r="593" spans="2:7" x14ac:dyDescent="0.2">
      <c r="B593" s="20"/>
      <c r="C593" s="23"/>
      <c r="E593" s="10"/>
      <c r="F593" s="27"/>
      <c r="G593" s="12"/>
    </row>
    <row r="594" spans="2:7" x14ac:dyDescent="0.2">
      <c r="B594" s="20"/>
      <c r="C594" s="23"/>
      <c r="E594" s="10"/>
      <c r="F594" s="27"/>
      <c r="G594" s="12"/>
    </row>
    <row r="595" spans="2:7" x14ac:dyDescent="0.2">
      <c r="B595" s="20"/>
      <c r="C595" s="23"/>
      <c r="E595" s="10"/>
      <c r="F595" s="27"/>
      <c r="G595" s="12"/>
    </row>
    <row r="596" spans="2:7" x14ac:dyDescent="0.2">
      <c r="B596" s="20"/>
      <c r="C596" s="23"/>
      <c r="E596" s="10"/>
      <c r="F596" s="27"/>
      <c r="G596" s="12"/>
    </row>
    <row r="597" spans="2:7" x14ac:dyDescent="0.2">
      <c r="B597" s="20"/>
      <c r="C597" s="23"/>
      <c r="E597" s="10"/>
      <c r="F597" s="27"/>
      <c r="G597" s="12"/>
    </row>
    <row r="598" spans="2:7" x14ac:dyDescent="0.2">
      <c r="B598" s="20"/>
      <c r="C598" s="23"/>
      <c r="E598" s="10"/>
      <c r="F598" s="27"/>
      <c r="G598" s="12"/>
    </row>
    <row r="599" spans="2:7" x14ac:dyDescent="0.2">
      <c r="B599" s="20"/>
      <c r="C599" s="23"/>
      <c r="E599" s="10"/>
      <c r="F599" s="27"/>
      <c r="G599" s="12"/>
    </row>
    <row r="600" spans="2:7" x14ac:dyDescent="0.2">
      <c r="B600" s="20"/>
      <c r="C600" s="23"/>
      <c r="E600" s="10"/>
      <c r="F600" s="27"/>
      <c r="G600" s="12"/>
    </row>
    <row r="601" spans="2:7" x14ac:dyDescent="0.2">
      <c r="B601" s="20"/>
      <c r="C601" s="23"/>
      <c r="E601" s="10"/>
      <c r="F601" s="27"/>
      <c r="G601" s="12"/>
    </row>
    <row r="602" spans="2:7" x14ac:dyDescent="0.2">
      <c r="B602" s="20"/>
      <c r="C602" s="23"/>
      <c r="E602" s="10"/>
      <c r="F602" s="27"/>
      <c r="G602" s="12"/>
    </row>
    <row r="603" spans="2:7" x14ac:dyDescent="0.2">
      <c r="B603" s="20"/>
      <c r="C603" s="23"/>
      <c r="E603" s="10"/>
      <c r="F603" s="27"/>
      <c r="G603" s="12"/>
    </row>
    <row r="604" spans="2:7" x14ac:dyDescent="0.2">
      <c r="B604" s="20"/>
      <c r="C604" s="23"/>
      <c r="E604" s="10"/>
      <c r="F604" s="27"/>
      <c r="G604" s="12"/>
    </row>
    <row r="605" spans="2:7" x14ac:dyDescent="0.2">
      <c r="B605" s="20"/>
      <c r="C605" s="23"/>
      <c r="E605" s="10"/>
      <c r="F605" s="27"/>
      <c r="G605" s="12"/>
    </row>
    <row r="606" spans="2:7" x14ac:dyDescent="0.2">
      <c r="B606" s="20"/>
      <c r="C606" s="23"/>
      <c r="E606" s="10"/>
      <c r="F606" s="27"/>
      <c r="G606" s="12"/>
    </row>
    <row r="607" spans="2:7" x14ac:dyDescent="0.2">
      <c r="B607" s="20"/>
      <c r="C607" s="23"/>
      <c r="E607" s="10"/>
      <c r="F607" s="27"/>
      <c r="G607" s="12"/>
    </row>
    <row r="608" spans="2:7" x14ac:dyDescent="0.2">
      <c r="B608" s="20"/>
      <c r="C608" s="23"/>
      <c r="E608" s="10"/>
      <c r="F608" s="27"/>
      <c r="G608" s="12"/>
    </row>
    <row r="609" spans="2:7" x14ac:dyDescent="0.2">
      <c r="B609" s="20"/>
      <c r="C609" s="23"/>
      <c r="E609" s="10"/>
      <c r="F609" s="27"/>
      <c r="G609" s="12"/>
    </row>
    <row r="610" spans="2:7" x14ac:dyDescent="0.2">
      <c r="B610" s="20"/>
      <c r="C610" s="23"/>
      <c r="E610" s="10"/>
      <c r="F610" s="27"/>
      <c r="G610" s="12"/>
    </row>
    <row r="611" spans="2:7" x14ac:dyDescent="0.2">
      <c r="B611" s="20"/>
      <c r="C611" s="23"/>
      <c r="E611" s="10"/>
      <c r="F611" s="27"/>
      <c r="G611" s="12"/>
    </row>
    <row r="612" spans="2:7" x14ac:dyDescent="0.2">
      <c r="B612" s="20"/>
      <c r="C612" s="23"/>
      <c r="E612" s="10"/>
      <c r="F612" s="27"/>
      <c r="G612" s="12"/>
    </row>
    <row r="613" spans="2:7" x14ac:dyDescent="0.2">
      <c r="B613" s="20"/>
      <c r="C613" s="23"/>
      <c r="E613" s="10"/>
      <c r="F613" s="27"/>
      <c r="G613" s="12"/>
    </row>
    <row r="614" spans="2:7" x14ac:dyDescent="0.2">
      <c r="B614" s="20"/>
      <c r="C614" s="23"/>
      <c r="E614" s="10"/>
      <c r="F614" s="27"/>
      <c r="G614" s="12"/>
    </row>
    <row r="615" spans="2:7" x14ac:dyDescent="0.2">
      <c r="B615" s="20"/>
      <c r="C615" s="23"/>
      <c r="E615" s="10"/>
      <c r="F615" s="27"/>
      <c r="G615" s="12"/>
    </row>
    <row r="616" spans="2:7" x14ac:dyDescent="0.2">
      <c r="B616" s="20"/>
      <c r="C616" s="23"/>
      <c r="E616" s="10"/>
      <c r="F616" s="27"/>
      <c r="G616" s="12"/>
    </row>
    <row r="617" spans="2:7" x14ac:dyDescent="0.2">
      <c r="B617" s="20"/>
      <c r="C617" s="23"/>
      <c r="E617" s="10"/>
      <c r="F617" s="27"/>
      <c r="G617" s="12"/>
    </row>
    <row r="618" spans="2:7" x14ac:dyDescent="0.2">
      <c r="B618" s="20"/>
      <c r="C618" s="23"/>
      <c r="E618" s="10"/>
      <c r="F618" s="27"/>
      <c r="G618" s="12"/>
    </row>
    <row r="619" spans="2:7" x14ac:dyDescent="0.2">
      <c r="B619" s="20"/>
      <c r="C619" s="23"/>
      <c r="E619" s="10"/>
      <c r="F619" s="27"/>
      <c r="G619" s="12"/>
    </row>
    <row r="620" spans="2:7" x14ac:dyDescent="0.2">
      <c r="B620" s="20"/>
      <c r="C620" s="23"/>
      <c r="E620" s="10"/>
      <c r="F620" s="27"/>
      <c r="G620" s="12"/>
    </row>
    <row r="621" spans="2:7" x14ac:dyDescent="0.2">
      <c r="B621" s="20"/>
      <c r="C621" s="23"/>
      <c r="E621" s="10"/>
      <c r="F621" s="27"/>
      <c r="G621" s="12"/>
    </row>
    <row r="622" spans="2:7" x14ac:dyDescent="0.2">
      <c r="B622" s="20"/>
      <c r="C622" s="23"/>
      <c r="E622" s="10"/>
      <c r="F622" s="27"/>
      <c r="G622" s="12"/>
    </row>
    <row r="623" spans="2:7" x14ac:dyDescent="0.2">
      <c r="B623" s="20"/>
      <c r="C623" s="23"/>
      <c r="E623" s="10"/>
      <c r="F623" s="27"/>
      <c r="G623" s="12"/>
    </row>
    <row r="624" spans="2:7" x14ac:dyDescent="0.2">
      <c r="B624" s="20"/>
      <c r="C624" s="23"/>
      <c r="E624" s="10"/>
      <c r="F624" s="27"/>
      <c r="G624" s="12"/>
    </row>
    <row r="625" spans="2:7" x14ac:dyDescent="0.2">
      <c r="B625" s="20"/>
      <c r="C625" s="23"/>
      <c r="E625" s="10"/>
      <c r="F625" s="27"/>
      <c r="G625" s="12"/>
    </row>
    <row r="626" spans="2:7" x14ac:dyDescent="0.2">
      <c r="B626" s="20"/>
      <c r="C626" s="23"/>
      <c r="E626" s="10"/>
      <c r="F626" s="27"/>
      <c r="G626" s="12"/>
    </row>
    <row r="627" spans="2:7" x14ac:dyDescent="0.2">
      <c r="B627" s="20"/>
      <c r="C627" s="23"/>
      <c r="E627" s="10"/>
      <c r="F627" s="27"/>
      <c r="G627" s="12"/>
    </row>
    <row r="628" spans="2:7" x14ac:dyDescent="0.2">
      <c r="B628" s="20"/>
      <c r="C628" s="23"/>
      <c r="E628" s="10"/>
      <c r="F628" s="27"/>
      <c r="G628" s="12"/>
    </row>
    <row r="629" spans="2:7" x14ac:dyDescent="0.2">
      <c r="B629" s="20"/>
      <c r="C629" s="23"/>
      <c r="E629" s="10"/>
      <c r="F629" s="27"/>
      <c r="G629" s="12"/>
    </row>
    <row r="630" spans="2:7" x14ac:dyDescent="0.2">
      <c r="B630" s="20"/>
      <c r="C630" s="23"/>
      <c r="E630" s="10"/>
      <c r="F630" s="27"/>
      <c r="G630" s="12"/>
    </row>
    <row r="631" spans="2:7" x14ac:dyDescent="0.2">
      <c r="B631" s="20"/>
      <c r="C631" s="23"/>
      <c r="E631" s="10"/>
      <c r="F631" s="27"/>
      <c r="G631" s="12"/>
    </row>
    <row r="632" spans="2:7" x14ac:dyDescent="0.2">
      <c r="B632" s="20"/>
      <c r="C632" s="23"/>
      <c r="E632" s="10"/>
      <c r="F632" s="27"/>
      <c r="G632" s="12"/>
    </row>
    <row r="633" spans="2:7" x14ac:dyDescent="0.2">
      <c r="B633" s="20"/>
      <c r="C633" s="23"/>
      <c r="E633" s="10"/>
      <c r="F633" s="27"/>
      <c r="G633" s="12"/>
    </row>
    <row r="634" spans="2:7" x14ac:dyDescent="0.2">
      <c r="B634" s="20"/>
      <c r="C634" s="23"/>
      <c r="E634" s="10"/>
      <c r="F634" s="27"/>
      <c r="G634" s="12"/>
    </row>
    <row r="635" spans="2:7" x14ac:dyDescent="0.2">
      <c r="B635" s="20"/>
      <c r="C635" s="23"/>
      <c r="E635" s="10"/>
      <c r="F635" s="27"/>
      <c r="G635" s="12"/>
    </row>
    <row r="636" spans="2:7" x14ac:dyDescent="0.2">
      <c r="B636" s="20"/>
      <c r="C636" s="23"/>
      <c r="E636" s="10"/>
      <c r="F636" s="27"/>
      <c r="G636" s="12"/>
    </row>
    <row r="637" spans="2:7" x14ac:dyDescent="0.2">
      <c r="B637" s="20"/>
      <c r="C637" s="23"/>
      <c r="E637" s="10"/>
      <c r="F637" s="27"/>
      <c r="G637" s="12"/>
    </row>
    <row r="638" spans="2:7" x14ac:dyDescent="0.2">
      <c r="B638" s="20"/>
      <c r="C638" s="23"/>
      <c r="E638" s="10"/>
      <c r="F638" s="27"/>
      <c r="G638" s="12"/>
    </row>
    <row r="639" spans="2:7" x14ac:dyDescent="0.2">
      <c r="B639" s="20"/>
      <c r="C639" s="23"/>
      <c r="E639" s="10"/>
      <c r="F639" s="27"/>
      <c r="G639" s="12"/>
    </row>
    <row r="640" spans="2:7" x14ac:dyDescent="0.2">
      <c r="B640" s="20"/>
      <c r="C640" s="23"/>
      <c r="E640" s="10"/>
      <c r="F640" s="27"/>
      <c r="G640" s="12"/>
    </row>
    <row r="641" spans="2:7" x14ac:dyDescent="0.2">
      <c r="B641" s="20"/>
      <c r="C641" s="23"/>
      <c r="E641" s="10"/>
      <c r="F641" s="27"/>
      <c r="G641" s="12"/>
    </row>
    <row r="642" spans="2:7" x14ac:dyDescent="0.2">
      <c r="B642" s="20"/>
      <c r="C642" s="23"/>
      <c r="E642" s="10"/>
      <c r="F642" s="27"/>
      <c r="G642" s="12"/>
    </row>
    <row r="643" spans="2:7" x14ac:dyDescent="0.2">
      <c r="B643" s="20"/>
      <c r="C643" s="23"/>
      <c r="E643" s="10"/>
      <c r="F643" s="27"/>
      <c r="G643" s="12"/>
    </row>
    <row r="644" spans="2:7" x14ac:dyDescent="0.2">
      <c r="B644" s="20"/>
      <c r="C644" s="23"/>
      <c r="E644" s="10"/>
      <c r="F644" s="27"/>
      <c r="G644" s="12"/>
    </row>
    <row r="645" spans="2:7" x14ac:dyDescent="0.2">
      <c r="B645" s="20"/>
      <c r="C645" s="23"/>
      <c r="E645" s="10"/>
      <c r="F645" s="27"/>
      <c r="G645" s="12"/>
    </row>
    <row r="646" spans="2:7" x14ac:dyDescent="0.2">
      <c r="B646" s="20"/>
      <c r="C646" s="23"/>
      <c r="E646" s="10"/>
      <c r="F646" s="27"/>
      <c r="G646" s="12"/>
    </row>
    <row r="647" spans="2:7" x14ac:dyDescent="0.2">
      <c r="B647" s="20"/>
      <c r="C647" s="23"/>
      <c r="E647" s="10"/>
      <c r="F647" s="27"/>
      <c r="G647" s="12"/>
    </row>
    <row r="648" spans="2:7" x14ac:dyDescent="0.2">
      <c r="B648" s="20"/>
      <c r="C648" s="23"/>
      <c r="E648" s="10"/>
      <c r="F648" s="27"/>
      <c r="G648" s="12"/>
    </row>
    <row r="649" spans="2:7" x14ac:dyDescent="0.2">
      <c r="B649" s="20"/>
      <c r="C649" s="23"/>
      <c r="E649" s="10"/>
      <c r="F649" s="27"/>
      <c r="G649" s="12"/>
    </row>
    <row r="650" spans="2:7" x14ac:dyDescent="0.2">
      <c r="B650" s="20"/>
      <c r="C650" s="23"/>
      <c r="E650" s="10"/>
      <c r="F650" s="27"/>
      <c r="G650" s="12"/>
    </row>
    <row r="651" spans="2:7" x14ac:dyDescent="0.2">
      <c r="B651" s="20"/>
      <c r="C651" s="23"/>
      <c r="E651" s="10"/>
      <c r="F651" s="27"/>
      <c r="G651" s="12"/>
    </row>
    <row r="652" spans="2:7" x14ac:dyDescent="0.2">
      <c r="B652" s="20"/>
      <c r="C652" s="23"/>
      <c r="E652" s="10"/>
      <c r="F652" s="27"/>
      <c r="G652" s="12"/>
    </row>
    <row r="653" spans="2:7" x14ac:dyDescent="0.2">
      <c r="B653" s="20"/>
      <c r="C653" s="23"/>
      <c r="E653" s="10"/>
      <c r="F653" s="27"/>
      <c r="G653" s="12"/>
    </row>
    <row r="654" spans="2:7" x14ac:dyDescent="0.2">
      <c r="B654" s="20"/>
      <c r="C654" s="23"/>
      <c r="E654" s="10"/>
      <c r="F654" s="27"/>
      <c r="G654" s="12"/>
    </row>
    <row r="655" spans="2:7" x14ac:dyDescent="0.2">
      <c r="B655" s="20"/>
      <c r="C655" s="23"/>
      <c r="E655" s="10"/>
      <c r="F655" s="27"/>
      <c r="G655" s="12"/>
    </row>
    <row r="656" spans="2:7" x14ac:dyDescent="0.2">
      <c r="B656" s="20"/>
      <c r="C656" s="23"/>
      <c r="E656" s="10"/>
      <c r="F656" s="27"/>
      <c r="G656" s="12"/>
    </row>
    <row r="657" spans="2:7" x14ac:dyDescent="0.2">
      <c r="B657" s="20"/>
      <c r="C657" s="23"/>
      <c r="E657" s="10"/>
      <c r="F657" s="27"/>
      <c r="G657" s="12"/>
    </row>
    <row r="658" spans="2:7" x14ac:dyDescent="0.2">
      <c r="B658" s="20"/>
      <c r="C658" s="23"/>
      <c r="E658" s="10"/>
      <c r="F658" s="27"/>
      <c r="G658" s="12"/>
    </row>
    <row r="659" spans="2:7" x14ac:dyDescent="0.2">
      <c r="B659" s="20"/>
      <c r="C659" s="23"/>
      <c r="E659" s="10"/>
      <c r="F659" s="27"/>
      <c r="G659" s="12"/>
    </row>
    <row r="660" spans="2:7" x14ac:dyDescent="0.2">
      <c r="B660" s="20"/>
      <c r="C660" s="23"/>
      <c r="E660" s="10"/>
      <c r="F660" s="27"/>
      <c r="G660" s="12"/>
    </row>
    <row r="661" spans="2:7" x14ac:dyDescent="0.2">
      <c r="B661" s="20"/>
      <c r="C661" s="23"/>
      <c r="E661" s="10"/>
      <c r="F661" s="27"/>
      <c r="G661" s="12"/>
    </row>
    <row r="662" spans="2:7" x14ac:dyDescent="0.2">
      <c r="B662" s="20"/>
      <c r="C662" s="23"/>
      <c r="E662" s="10"/>
      <c r="F662" s="27"/>
      <c r="G662" s="12"/>
    </row>
    <row r="663" spans="2:7" x14ac:dyDescent="0.2">
      <c r="B663" s="20"/>
      <c r="C663" s="23"/>
      <c r="E663" s="10"/>
      <c r="F663" s="27"/>
      <c r="G663" s="12"/>
    </row>
    <row r="664" spans="2:7" x14ac:dyDescent="0.2">
      <c r="B664" s="20"/>
      <c r="C664" s="23"/>
      <c r="E664" s="10"/>
      <c r="F664" s="27"/>
      <c r="G664" s="12"/>
    </row>
    <row r="665" spans="2:7" x14ac:dyDescent="0.2">
      <c r="B665" s="20"/>
      <c r="C665" s="23"/>
      <c r="E665" s="10"/>
      <c r="F665" s="27"/>
      <c r="G665" s="12"/>
    </row>
    <row r="666" spans="2:7" x14ac:dyDescent="0.2">
      <c r="B666" s="20"/>
      <c r="C666" s="23"/>
      <c r="E666" s="10"/>
      <c r="F666" s="27"/>
      <c r="G666" s="12"/>
    </row>
    <row r="667" spans="2:7" x14ac:dyDescent="0.2">
      <c r="B667" s="20"/>
      <c r="C667" s="23"/>
      <c r="E667" s="10"/>
      <c r="F667" s="27"/>
      <c r="G667" s="12"/>
    </row>
    <row r="668" spans="2:7" x14ac:dyDescent="0.2">
      <c r="B668" s="20"/>
      <c r="C668" s="23"/>
      <c r="E668" s="10"/>
      <c r="F668" s="27"/>
      <c r="G668" s="12"/>
    </row>
    <row r="669" spans="2:7" x14ac:dyDescent="0.2">
      <c r="B669" s="20"/>
      <c r="C669" s="23"/>
      <c r="E669" s="10"/>
      <c r="F669" s="27"/>
      <c r="G669" s="12"/>
    </row>
    <row r="670" spans="2:7" x14ac:dyDescent="0.2">
      <c r="B670" s="20"/>
      <c r="C670" s="23"/>
      <c r="E670" s="10"/>
      <c r="F670" s="27"/>
      <c r="G670" s="12"/>
    </row>
    <row r="671" spans="2:7" x14ac:dyDescent="0.2">
      <c r="B671" s="20"/>
      <c r="C671" s="23"/>
      <c r="E671" s="10"/>
      <c r="F671" s="27"/>
      <c r="G671" s="12"/>
    </row>
    <row r="672" spans="2:7" x14ac:dyDescent="0.2">
      <c r="B672" s="20"/>
      <c r="C672" s="23"/>
      <c r="E672" s="10"/>
      <c r="F672" s="27"/>
      <c r="G672" s="12"/>
    </row>
    <row r="673" spans="2:7" x14ac:dyDescent="0.2">
      <c r="B673" s="20"/>
      <c r="C673" s="23"/>
      <c r="E673" s="10"/>
      <c r="F673" s="27"/>
      <c r="G673" s="12"/>
    </row>
    <row r="674" spans="2:7" x14ac:dyDescent="0.2">
      <c r="B674" s="20"/>
      <c r="C674" s="23"/>
      <c r="E674" s="10"/>
      <c r="F674" s="27"/>
      <c r="G674" s="12"/>
    </row>
    <row r="675" spans="2:7" x14ac:dyDescent="0.2">
      <c r="B675" s="20"/>
      <c r="C675" s="23"/>
      <c r="E675" s="10"/>
      <c r="F675" s="27"/>
      <c r="G675" s="12"/>
    </row>
    <row r="676" spans="2:7" x14ac:dyDescent="0.2">
      <c r="B676" s="20"/>
      <c r="C676" s="23"/>
      <c r="E676" s="10"/>
      <c r="F676" s="27"/>
      <c r="G676" s="12"/>
    </row>
    <row r="677" spans="2:7" x14ac:dyDescent="0.2">
      <c r="B677" s="20"/>
      <c r="C677" s="23"/>
      <c r="E677" s="10"/>
      <c r="F677" s="27"/>
      <c r="G677" s="12"/>
    </row>
    <row r="678" spans="2:7" x14ac:dyDescent="0.2">
      <c r="B678" s="20"/>
      <c r="C678" s="23"/>
      <c r="D678" s="17"/>
      <c r="E678" s="10"/>
      <c r="F678" s="27"/>
      <c r="G678" s="12"/>
    </row>
    <row r="679" spans="2:7" x14ac:dyDescent="0.2">
      <c r="B679" s="20"/>
      <c r="C679" s="23"/>
      <c r="E679" s="10"/>
      <c r="F679" s="27"/>
      <c r="G679" s="12"/>
    </row>
    <row r="680" spans="2:7" x14ac:dyDescent="0.2">
      <c r="B680" s="20"/>
      <c r="C680" s="23"/>
      <c r="E680" s="10"/>
      <c r="F680" s="27"/>
      <c r="G680" s="12"/>
    </row>
    <row r="681" spans="2:7" x14ac:dyDescent="0.2">
      <c r="B681" s="20"/>
      <c r="C681" s="23"/>
      <c r="D681" s="17"/>
      <c r="E681" s="10"/>
      <c r="F681" s="27"/>
      <c r="G681" s="12"/>
    </row>
    <row r="682" spans="2:7" x14ac:dyDescent="0.2">
      <c r="B682" s="20"/>
      <c r="C682" s="23"/>
      <c r="D682" s="17"/>
      <c r="E682" s="10"/>
      <c r="F682" s="27"/>
      <c r="G682" s="12"/>
    </row>
    <row r="683" spans="2:7" x14ac:dyDescent="0.2">
      <c r="B683" s="20"/>
      <c r="C683" s="23"/>
      <c r="E683" s="10"/>
      <c r="F683" s="27"/>
      <c r="G683" s="12"/>
    </row>
    <row r="684" spans="2:7" x14ac:dyDescent="0.2">
      <c r="B684" s="20"/>
      <c r="C684" s="23"/>
      <c r="E684" s="10"/>
      <c r="F684" s="27"/>
      <c r="G684" s="12"/>
    </row>
    <row r="685" spans="2:7" x14ac:dyDescent="0.2">
      <c r="B685" s="20"/>
      <c r="C685" s="23"/>
      <c r="E685" s="10"/>
      <c r="F685" s="27"/>
      <c r="G685" s="12"/>
    </row>
    <row r="686" spans="2:7" x14ac:dyDescent="0.2">
      <c r="B686" s="20"/>
      <c r="C686" s="23"/>
      <c r="E686" s="10"/>
      <c r="F686" s="27"/>
      <c r="G686" s="12"/>
    </row>
    <row r="687" spans="2:7" x14ac:dyDescent="0.2">
      <c r="B687" s="20"/>
      <c r="C687" s="23"/>
      <c r="E687" s="10"/>
      <c r="F687" s="27"/>
      <c r="G687" s="12"/>
    </row>
    <row r="688" spans="2:7" x14ac:dyDescent="0.2">
      <c r="B688" s="20"/>
      <c r="C688" s="23"/>
      <c r="E688" s="10"/>
      <c r="F688" s="27"/>
      <c r="G688" s="12"/>
    </row>
    <row r="689" spans="2:7" x14ac:dyDescent="0.2">
      <c r="B689" s="20"/>
      <c r="C689" s="23"/>
      <c r="E689" s="10"/>
      <c r="F689" s="27"/>
      <c r="G689" s="12"/>
    </row>
    <row r="690" spans="2:7" x14ac:dyDescent="0.2">
      <c r="B690" s="20"/>
      <c r="C690" s="23"/>
      <c r="E690" s="10"/>
      <c r="F690" s="27"/>
      <c r="G690" s="12"/>
    </row>
    <row r="691" spans="2:7" x14ac:dyDescent="0.2">
      <c r="B691" s="20"/>
      <c r="C691" s="23"/>
      <c r="E691" s="10"/>
      <c r="F691" s="27"/>
      <c r="G691" s="12"/>
    </row>
    <row r="692" spans="2:7" x14ac:dyDescent="0.2">
      <c r="B692" s="20"/>
      <c r="C692" s="23"/>
      <c r="E692" s="10"/>
      <c r="F692" s="27"/>
      <c r="G692" s="12"/>
    </row>
    <row r="693" spans="2:7" x14ac:dyDescent="0.2">
      <c r="B693" s="20"/>
      <c r="C693" s="23"/>
      <c r="E693" s="10"/>
      <c r="F693" s="27"/>
      <c r="G693" s="12"/>
    </row>
    <row r="694" spans="2:7" x14ac:dyDescent="0.2">
      <c r="B694" s="20"/>
      <c r="C694" s="23"/>
      <c r="E694" s="10"/>
      <c r="F694" s="27"/>
      <c r="G694" s="12"/>
    </row>
    <row r="695" spans="2:7" x14ac:dyDescent="0.2">
      <c r="B695" s="20"/>
      <c r="C695" s="23"/>
      <c r="E695" s="10"/>
      <c r="F695" s="27"/>
      <c r="G695" s="12"/>
    </row>
    <row r="696" spans="2:7" x14ac:dyDescent="0.2">
      <c r="B696" s="20"/>
      <c r="C696" s="23"/>
      <c r="E696" s="10"/>
      <c r="F696" s="27"/>
      <c r="G696" s="12"/>
    </row>
    <row r="697" spans="2:7" x14ac:dyDescent="0.2">
      <c r="B697" s="20"/>
      <c r="C697" s="23"/>
      <c r="E697" s="10"/>
      <c r="F697" s="27"/>
      <c r="G697" s="12"/>
    </row>
    <row r="698" spans="2:7" x14ac:dyDescent="0.2">
      <c r="B698" s="20"/>
      <c r="C698" s="23"/>
      <c r="E698" s="10"/>
      <c r="F698" s="27"/>
      <c r="G698" s="12"/>
    </row>
    <row r="699" spans="2:7" x14ac:dyDescent="0.2">
      <c r="B699" s="20"/>
      <c r="C699" s="23"/>
      <c r="E699" s="10"/>
      <c r="F699" s="27"/>
      <c r="G699" s="12"/>
    </row>
    <row r="700" spans="2:7" x14ac:dyDescent="0.2">
      <c r="B700" s="20"/>
      <c r="C700" s="23"/>
      <c r="E700" s="10"/>
      <c r="F700" s="27"/>
      <c r="G700" s="12"/>
    </row>
    <row r="701" spans="2:7" x14ac:dyDescent="0.2">
      <c r="B701" s="20"/>
      <c r="C701" s="23"/>
      <c r="E701" s="10"/>
      <c r="F701" s="27"/>
      <c r="G701" s="12"/>
    </row>
    <row r="702" spans="2:7" x14ac:dyDescent="0.2">
      <c r="B702" s="20"/>
      <c r="C702" s="23"/>
      <c r="E702" s="10"/>
      <c r="F702" s="27"/>
      <c r="G702" s="12"/>
    </row>
    <row r="703" spans="2:7" x14ac:dyDescent="0.2">
      <c r="B703" s="20"/>
      <c r="C703" s="23"/>
      <c r="E703" s="10"/>
      <c r="F703" s="27"/>
      <c r="G703" s="12"/>
    </row>
    <row r="704" spans="2:7" x14ac:dyDescent="0.2">
      <c r="B704" s="20"/>
      <c r="C704" s="23"/>
      <c r="E704" s="10"/>
      <c r="F704" s="27"/>
      <c r="G704" s="12"/>
    </row>
    <row r="705" spans="2:7" x14ac:dyDescent="0.2">
      <c r="B705" s="20"/>
      <c r="C705" s="23"/>
      <c r="E705" s="10"/>
      <c r="F705" s="27"/>
      <c r="G705" s="12"/>
    </row>
    <row r="706" spans="2:7" x14ac:dyDescent="0.2">
      <c r="B706" s="20"/>
      <c r="C706" s="23"/>
      <c r="E706" s="10"/>
      <c r="F706" s="27"/>
      <c r="G706" s="12"/>
    </row>
    <row r="707" spans="2:7" x14ac:dyDescent="0.2">
      <c r="B707" s="20"/>
      <c r="C707" s="23"/>
      <c r="E707" s="10"/>
      <c r="F707" s="27"/>
      <c r="G707" s="12"/>
    </row>
    <row r="708" spans="2:7" x14ac:dyDescent="0.2">
      <c r="B708" s="20"/>
      <c r="C708" s="23"/>
      <c r="E708" s="10"/>
      <c r="F708" s="27"/>
      <c r="G708" s="12"/>
    </row>
    <row r="709" spans="2:7" x14ac:dyDescent="0.2">
      <c r="B709" s="20"/>
      <c r="C709" s="23"/>
      <c r="E709" s="10"/>
      <c r="F709" s="27"/>
      <c r="G709" s="12"/>
    </row>
    <row r="710" spans="2:7" x14ac:dyDescent="0.2">
      <c r="B710" s="20"/>
      <c r="C710" s="23"/>
      <c r="E710" s="10"/>
      <c r="F710" s="27"/>
      <c r="G710" s="12"/>
    </row>
    <row r="711" spans="2:7" x14ac:dyDescent="0.2">
      <c r="B711" s="20"/>
      <c r="C711" s="23"/>
      <c r="E711" s="10"/>
      <c r="F711" s="27"/>
      <c r="G711" s="12"/>
    </row>
    <row r="712" spans="2:7" x14ac:dyDescent="0.2">
      <c r="B712" s="20"/>
      <c r="C712" s="23"/>
      <c r="E712" s="10"/>
      <c r="F712" s="27"/>
      <c r="G712" s="12"/>
    </row>
    <row r="713" spans="2:7" x14ac:dyDescent="0.2">
      <c r="B713" s="20"/>
      <c r="C713" s="23"/>
      <c r="E713" s="10"/>
      <c r="F713" s="27"/>
      <c r="G713" s="12"/>
    </row>
    <row r="714" spans="2:7" x14ac:dyDescent="0.2">
      <c r="B714" s="20"/>
      <c r="C714" s="23"/>
      <c r="E714" s="10"/>
      <c r="F714" s="27"/>
      <c r="G714" s="12"/>
    </row>
    <row r="715" spans="2:7" x14ac:dyDescent="0.2">
      <c r="B715" s="20"/>
      <c r="C715" s="23"/>
      <c r="E715" s="10"/>
      <c r="F715" s="27"/>
      <c r="G715" s="12"/>
    </row>
    <row r="716" spans="2:7" x14ac:dyDescent="0.2">
      <c r="B716" s="20"/>
      <c r="C716" s="23"/>
      <c r="E716" s="10"/>
      <c r="F716" s="27"/>
      <c r="G716" s="12"/>
    </row>
    <row r="717" spans="2:7" x14ac:dyDescent="0.2">
      <c r="B717" s="20"/>
      <c r="C717" s="23"/>
      <c r="E717" s="10"/>
      <c r="F717" s="27"/>
      <c r="G717" s="12"/>
    </row>
    <row r="718" spans="2:7" x14ac:dyDescent="0.2">
      <c r="B718" s="20"/>
      <c r="C718" s="23"/>
      <c r="E718" s="10"/>
      <c r="F718" s="27"/>
      <c r="G718" s="12"/>
    </row>
    <row r="719" spans="2:7" x14ac:dyDescent="0.2">
      <c r="B719" s="20"/>
      <c r="C719" s="23"/>
      <c r="E719" s="10"/>
      <c r="F719" s="27"/>
      <c r="G719" s="12"/>
    </row>
    <row r="720" spans="2:7" x14ac:dyDescent="0.2">
      <c r="B720" s="20"/>
      <c r="C720" s="23"/>
      <c r="E720" s="10"/>
      <c r="F720" s="27"/>
      <c r="G720" s="12"/>
    </row>
    <row r="721" spans="2:7" x14ac:dyDescent="0.2">
      <c r="B721" s="20"/>
      <c r="C721" s="23"/>
      <c r="E721" s="10"/>
      <c r="F721" s="27"/>
      <c r="G721" s="12"/>
    </row>
    <row r="722" spans="2:7" x14ac:dyDescent="0.2">
      <c r="B722" s="20"/>
      <c r="C722" s="23"/>
      <c r="E722" s="10"/>
      <c r="F722" s="27"/>
      <c r="G722" s="12"/>
    </row>
    <row r="723" spans="2:7" x14ac:dyDescent="0.2">
      <c r="B723" s="20"/>
      <c r="C723" s="23"/>
      <c r="D723" s="15"/>
      <c r="E723" s="10"/>
      <c r="F723" s="27"/>
      <c r="G723" s="12"/>
    </row>
    <row r="724" spans="2:7" x14ac:dyDescent="0.2">
      <c r="B724" s="20"/>
      <c r="C724" s="23"/>
      <c r="E724" s="10"/>
      <c r="F724" s="27"/>
      <c r="G724" s="12"/>
    </row>
    <row r="725" spans="2:7" x14ac:dyDescent="0.2">
      <c r="B725" s="20"/>
      <c r="C725" s="23"/>
      <c r="E725" s="10"/>
      <c r="F725" s="27"/>
      <c r="G725" s="12"/>
    </row>
    <row r="726" spans="2:7" x14ac:dyDescent="0.2">
      <c r="B726" s="20"/>
      <c r="C726" s="23"/>
      <c r="E726" s="10"/>
      <c r="F726" s="27"/>
      <c r="G726" s="12"/>
    </row>
    <row r="727" spans="2:7" x14ac:dyDescent="0.2">
      <c r="B727" s="20"/>
      <c r="C727" s="23"/>
      <c r="E727" s="10"/>
      <c r="F727" s="27"/>
      <c r="G727" s="12"/>
    </row>
    <row r="728" spans="2:7" x14ac:dyDescent="0.2">
      <c r="B728" s="20"/>
      <c r="C728" s="23"/>
      <c r="E728" s="10"/>
      <c r="F728" s="27"/>
      <c r="G728" s="12"/>
    </row>
    <row r="729" spans="2:7" x14ac:dyDescent="0.2">
      <c r="B729" s="20"/>
      <c r="C729" s="23"/>
      <c r="D729" s="14"/>
      <c r="E729" s="10"/>
      <c r="F729" s="27"/>
      <c r="G729" s="12"/>
    </row>
    <row r="730" spans="2:7" x14ac:dyDescent="0.2">
      <c r="B730" s="20"/>
      <c r="C730" s="23"/>
      <c r="E730" s="10"/>
      <c r="F730" s="27"/>
      <c r="G730" s="12"/>
    </row>
    <row r="731" spans="2:7" x14ac:dyDescent="0.2">
      <c r="B731" s="20"/>
      <c r="C731" s="23"/>
      <c r="D731" s="17"/>
      <c r="E731" s="10"/>
      <c r="F731" s="27"/>
      <c r="G731" s="12"/>
    </row>
    <row r="732" spans="2:7" x14ac:dyDescent="0.2">
      <c r="B732" s="20"/>
      <c r="C732" s="23"/>
      <c r="D732" s="17"/>
      <c r="E732" s="10"/>
      <c r="F732" s="27"/>
      <c r="G732" s="12"/>
    </row>
    <row r="733" spans="2:7" x14ac:dyDescent="0.2">
      <c r="B733" s="20"/>
      <c r="C733" s="23"/>
      <c r="E733" s="10"/>
      <c r="F733" s="27"/>
      <c r="G733" s="12"/>
    </row>
    <row r="734" spans="2:7" x14ac:dyDescent="0.2">
      <c r="B734" s="20"/>
      <c r="C734" s="23"/>
      <c r="E734" s="10"/>
      <c r="F734" s="27"/>
      <c r="G734" s="12"/>
    </row>
    <row r="735" spans="2:7" x14ac:dyDescent="0.2">
      <c r="B735" s="20"/>
      <c r="C735" s="23"/>
      <c r="E735" s="10"/>
      <c r="F735" s="27"/>
      <c r="G735" s="12"/>
    </row>
    <row r="736" spans="2:7" x14ac:dyDescent="0.2">
      <c r="B736" s="20"/>
      <c r="C736" s="23"/>
      <c r="E736" s="10"/>
      <c r="F736" s="27"/>
      <c r="G736" s="12"/>
    </row>
    <row r="737" spans="2:7" x14ac:dyDescent="0.2">
      <c r="B737" s="20"/>
      <c r="C737" s="23"/>
      <c r="E737" s="10"/>
      <c r="F737" s="27"/>
      <c r="G737" s="12"/>
    </row>
    <row r="738" spans="2:7" x14ac:dyDescent="0.2">
      <c r="B738" s="20"/>
      <c r="C738" s="23"/>
      <c r="E738" s="10"/>
      <c r="F738" s="27"/>
      <c r="G738" s="12"/>
    </row>
    <row r="739" spans="2:7" x14ac:dyDescent="0.2">
      <c r="B739" s="20"/>
      <c r="C739" s="23"/>
      <c r="E739" s="10"/>
      <c r="F739" s="27"/>
      <c r="G739" s="12"/>
    </row>
    <row r="740" spans="2:7" x14ac:dyDescent="0.2">
      <c r="B740" s="20"/>
      <c r="C740" s="23"/>
      <c r="E740" s="10"/>
      <c r="F740" s="27"/>
      <c r="G740" s="12"/>
    </row>
    <row r="741" spans="2:7" x14ac:dyDescent="0.2">
      <c r="B741" s="20"/>
      <c r="C741" s="23"/>
      <c r="E741" s="10"/>
      <c r="F741" s="27"/>
      <c r="G741" s="12"/>
    </row>
    <row r="742" spans="2:7" x14ac:dyDescent="0.2">
      <c r="B742" s="20"/>
      <c r="C742" s="23"/>
      <c r="E742" s="10"/>
      <c r="F742" s="27"/>
      <c r="G742" s="12"/>
    </row>
  </sheetData>
  <pageMargins left="0.75" right="0.75" top="1" bottom="1" header="0.5" footer="0.5"/>
  <pageSetup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AI911"/>
  <sheetViews>
    <sheetView zoomScaleNormal="100" workbookViewId="0">
      <selection sqref="A1:H100"/>
    </sheetView>
  </sheetViews>
  <sheetFormatPr defaultColWidth="18" defaultRowHeight="15" x14ac:dyDescent="0.25"/>
  <cols>
    <col min="1" max="1" width="13.5703125" style="31" bestFit="1" customWidth="1"/>
    <col min="2" max="2" width="14.85546875" style="31" bestFit="1" customWidth="1"/>
    <col min="3" max="3" width="7.5703125" style="31" bestFit="1" customWidth="1"/>
    <col min="4" max="4" width="15.28515625" style="31" bestFit="1" customWidth="1"/>
    <col min="5" max="5" width="11" style="39" bestFit="1" customWidth="1"/>
    <col min="6" max="6" width="7.7109375" style="35" bestFit="1" customWidth="1"/>
    <col min="7" max="7" width="9.7109375" style="35" bestFit="1" customWidth="1"/>
    <col min="8" max="8" width="2.140625" style="31" customWidth="1"/>
    <col min="9" max="9" width="2.140625" style="37" customWidth="1"/>
    <col min="10" max="10" width="15.140625" style="31" customWidth="1"/>
    <col min="11" max="11" width="9.42578125" style="31" customWidth="1"/>
    <col min="12" max="14" width="5" style="31" bestFit="1" customWidth="1"/>
    <col min="15" max="15" width="11.28515625" style="31" customWidth="1"/>
    <col min="16" max="22" width="15.140625" style="31" customWidth="1"/>
    <col min="23" max="24" width="11.28515625" style="31" customWidth="1"/>
    <col min="25" max="26" width="16.28515625" style="31" customWidth="1"/>
    <col min="27" max="27" width="9.28515625" style="31" customWidth="1"/>
    <col min="28" max="28" width="11.28515625" style="31" customWidth="1"/>
    <col min="29" max="16384" width="18" style="31"/>
  </cols>
  <sheetData>
    <row r="1" spans="1:25" ht="15.75" thickBot="1" x14ac:dyDescent="0.3">
      <c r="A1" s="32" t="s">
        <v>250</v>
      </c>
      <c r="B1" s="32" t="s">
        <v>251</v>
      </c>
      <c r="C1" s="32" t="s">
        <v>252</v>
      </c>
      <c r="D1" s="32" t="s">
        <v>253</v>
      </c>
      <c r="E1" s="33" t="s">
        <v>254</v>
      </c>
      <c r="F1" s="34" t="s">
        <v>255</v>
      </c>
      <c r="G1" s="34" t="s">
        <v>256</v>
      </c>
      <c r="H1" s="45"/>
      <c r="J1"/>
      <c r="K1"/>
      <c r="L1"/>
      <c r="M1"/>
      <c r="N1"/>
      <c r="O1"/>
      <c r="P1"/>
      <c r="Q1"/>
      <c r="R1" s="38">
        <v>728</v>
      </c>
      <c r="S1"/>
      <c r="T1"/>
      <c r="U1"/>
      <c r="V1"/>
      <c r="W1"/>
      <c r="X1"/>
    </row>
    <row r="2" spans="1:25" x14ac:dyDescent="0.25">
      <c r="A2" s="31" t="s">
        <v>279</v>
      </c>
      <c r="B2" s="31" t="s">
        <v>271</v>
      </c>
      <c r="C2" s="31" t="s">
        <v>258</v>
      </c>
      <c r="D2" s="31" t="s">
        <v>282</v>
      </c>
      <c r="E2" s="38">
        <v>41641</v>
      </c>
      <c r="F2" s="35">
        <v>3</v>
      </c>
      <c r="G2" s="36">
        <v>875</v>
      </c>
      <c r="H2" s="46"/>
      <c r="I2" s="47"/>
      <c r="J2"/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1:25" x14ac:dyDescent="0.25">
      <c r="A3" s="31" t="s">
        <v>270</v>
      </c>
      <c r="B3" s="31" t="s">
        <v>262</v>
      </c>
      <c r="C3" s="31" t="s">
        <v>257</v>
      </c>
      <c r="D3" s="31" t="s">
        <v>269</v>
      </c>
      <c r="E3" s="38">
        <v>41642</v>
      </c>
      <c r="F3" s="35">
        <v>10</v>
      </c>
      <c r="G3" s="35">
        <v>5433</v>
      </c>
      <c r="H3" s="46"/>
      <c r="I3" s="47"/>
      <c r="J3" s="40" t="s">
        <v>284</v>
      </c>
      <c r="K3" s="40" t="s">
        <v>252</v>
      </c>
      <c r="L3"/>
      <c r="M3"/>
      <c r="N3"/>
      <c r="O3"/>
      <c r="P3"/>
      <c r="Q3"/>
      <c r="R3"/>
      <c r="S3"/>
      <c r="T3"/>
      <c r="U3"/>
      <c r="V3"/>
      <c r="W3"/>
      <c r="X3"/>
      <c r="Y3" s="31">
        <f>1861/48</f>
        <v>38.770833333333336</v>
      </c>
    </row>
    <row r="4" spans="1:25" x14ac:dyDescent="0.25">
      <c r="A4" s="31" t="s">
        <v>270</v>
      </c>
      <c r="B4" s="31" t="s">
        <v>278</v>
      </c>
      <c r="C4" s="31" t="s">
        <v>259</v>
      </c>
      <c r="D4" s="31" t="s">
        <v>267</v>
      </c>
      <c r="E4" s="38">
        <v>41643</v>
      </c>
      <c r="F4" s="35">
        <v>8</v>
      </c>
      <c r="G4" s="36">
        <v>2310</v>
      </c>
      <c r="H4" s="46"/>
      <c r="I4" s="47"/>
      <c r="J4" s="40" t="s">
        <v>250</v>
      </c>
      <c r="K4" s="42" t="s">
        <v>257</v>
      </c>
      <c r="L4" s="42" t="s">
        <v>258</v>
      </c>
      <c r="M4" s="42" t="s">
        <v>259</v>
      </c>
      <c r="N4" s="42" t="s">
        <v>260</v>
      </c>
      <c r="O4" s="42" t="s">
        <v>283</v>
      </c>
      <c r="P4"/>
      <c r="Q4"/>
      <c r="R4"/>
      <c r="S4"/>
      <c r="T4"/>
      <c r="U4"/>
      <c r="V4"/>
      <c r="W4"/>
      <c r="X4"/>
    </row>
    <row r="5" spans="1:25" x14ac:dyDescent="0.25">
      <c r="A5" s="31" t="s">
        <v>276</v>
      </c>
      <c r="B5" s="31" t="s">
        <v>273</v>
      </c>
      <c r="C5" s="31" t="s">
        <v>258</v>
      </c>
      <c r="D5" s="31" t="s">
        <v>267</v>
      </c>
      <c r="E5" s="38">
        <v>41644</v>
      </c>
      <c r="F5" s="35">
        <v>4</v>
      </c>
      <c r="G5" s="36">
        <v>1837</v>
      </c>
      <c r="H5" s="46"/>
      <c r="I5" s="47"/>
      <c r="J5" t="s">
        <v>264</v>
      </c>
      <c r="K5" s="41">
        <v>267</v>
      </c>
      <c r="L5" s="41">
        <v>258</v>
      </c>
      <c r="M5" s="41">
        <v>116</v>
      </c>
      <c r="N5" s="41">
        <v>189</v>
      </c>
      <c r="O5" s="41">
        <v>830</v>
      </c>
      <c r="P5"/>
      <c r="Q5"/>
      <c r="R5"/>
      <c r="S5"/>
      <c r="T5"/>
      <c r="U5"/>
      <c r="V5"/>
      <c r="W5"/>
      <c r="X5"/>
    </row>
    <row r="6" spans="1:25" x14ac:dyDescent="0.25">
      <c r="A6" s="31" t="s">
        <v>261</v>
      </c>
      <c r="B6" s="31" t="s">
        <v>278</v>
      </c>
      <c r="C6" s="31" t="s">
        <v>257</v>
      </c>
      <c r="D6" s="31" t="s">
        <v>269</v>
      </c>
      <c r="E6" s="38">
        <v>41645</v>
      </c>
      <c r="F6" s="35">
        <v>13</v>
      </c>
      <c r="G6" s="35">
        <v>5148</v>
      </c>
      <c r="H6" s="46"/>
      <c r="I6" s="47"/>
      <c r="J6" t="s">
        <v>268</v>
      </c>
      <c r="K6" s="41">
        <v>159</v>
      </c>
      <c r="L6" s="41">
        <v>176</v>
      </c>
      <c r="M6" s="41">
        <v>181</v>
      </c>
      <c r="N6" s="41">
        <v>184</v>
      </c>
      <c r="O6" s="41">
        <v>700</v>
      </c>
      <c r="P6"/>
      <c r="Q6"/>
      <c r="R6"/>
      <c r="S6"/>
      <c r="T6"/>
      <c r="U6"/>
      <c r="V6"/>
      <c r="W6"/>
      <c r="X6"/>
    </row>
    <row r="7" spans="1:25" x14ac:dyDescent="0.25">
      <c r="A7" s="31" t="s">
        <v>274</v>
      </c>
      <c r="B7" s="37" t="s">
        <v>266</v>
      </c>
      <c r="C7" s="31" t="s">
        <v>257</v>
      </c>
      <c r="D7" s="31" t="s">
        <v>267</v>
      </c>
      <c r="E7" s="38">
        <v>41646</v>
      </c>
      <c r="F7" s="35">
        <v>14</v>
      </c>
      <c r="G7" s="36">
        <v>5748</v>
      </c>
      <c r="H7" s="46"/>
      <c r="I7" s="47"/>
      <c r="J7" t="s">
        <v>261</v>
      </c>
      <c r="K7" s="41">
        <v>160</v>
      </c>
      <c r="L7" s="41">
        <v>107</v>
      </c>
      <c r="M7" s="41">
        <v>198</v>
      </c>
      <c r="N7" s="41">
        <v>185</v>
      </c>
      <c r="O7" s="41">
        <v>650</v>
      </c>
      <c r="P7"/>
      <c r="Q7"/>
      <c r="R7"/>
      <c r="S7"/>
      <c r="T7"/>
      <c r="U7"/>
      <c r="V7"/>
      <c r="W7"/>
      <c r="X7"/>
    </row>
    <row r="8" spans="1:25" x14ac:dyDescent="0.25">
      <c r="A8" s="31" t="s">
        <v>261</v>
      </c>
      <c r="B8" s="31" t="s">
        <v>271</v>
      </c>
      <c r="C8" s="31" t="s">
        <v>257</v>
      </c>
      <c r="D8" s="31" t="s">
        <v>282</v>
      </c>
      <c r="E8" s="38">
        <v>41647</v>
      </c>
      <c r="F8" s="35">
        <v>7</v>
      </c>
      <c r="G8" s="36">
        <v>3817</v>
      </c>
      <c r="H8" s="46"/>
      <c r="I8" s="47"/>
      <c r="J8" t="s">
        <v>265</v>
      </c>
      <c r="K8" s="41">
        <v>233</v>
      </c>
      <c r="L8" s="41">
        <v>357</v>
      </c>
      <c r="M8" s="41">
        <v>350</v>
      </c>
      <c r="N8" s="41">
        <v>243</v>
      </c>
      <c r="O8" s="41">
        <v>1183</v>
      </c>
      <c r="P8"/>
      <c r="Q8" s="38">
        <f>MIN(E:E)</f>
        <v>41641</v>
      </c>
      <c r="R8"/>
      <c r="S8"/>
      <c r="T8"/>
      <c r="U8"/>
      <c r="V8"/>
      <c r="W8"/>
      <c r="X8"/>
    </row>
    <row r="9" spans="1:25" x14ac:dyDescent="0.25">
      <c r="A9" s="31" t="s">
        <v>274</v>
      </c>
      <c r="B9" s="31" t="s">
        <v>266</v>
      </c>
      <c r="C9" s="31" t="s">
        <v>259</v>
      </c>
      <c r="D9" s="31" t="s">
        <v>282</v>
      </c>
      <c r="E9" s="38">
        <v>41648</v>
      </c>
      <c r="F9" s="35">
        <v>3</v>
      </c>
      <c r="G9" s="36">
        <v>1243</v>
      </c>
      <c r="H9" s="46"/>
      <c r="I9" s="47"/>
      <c r="J9" t="s">
        <v>272</v>
      </c>
      <c r="K9" s="41">
        <v>107</v>
      </c>
      <c r="L9" s="41">
        <v>134</v>
      </c>
      <c r="M9" s="41">
        <v>168</v>
      </c>
      <c r="N9" s="41">
        <v>129</v>
      </c>
      <c r="O9" s="41">
        <v>538</v>
      </c>
      <c r="P9"/>
      <c r="Q9" s="38">
        <f>MAX(E:E)</f>
        <v>42362</v>
      </c>
      <c r="R9"/>
      <c r="S9"/>
      <c r="T9"/>
      <c r="U9"/>
      <c r="V9"/>
      <c r="W9"/>
      <c r="X9"/>
    </row>
    <row r="10" spans="1:25" x14ac:dyDescent="0.25">
      <c r="A10" s="31" t="s">
        <v>265</v>
      </c>
      <c r="B10" s="31" t="s">
        <v>278</v>
      </c>
      <c r="C10" s="31" t="s">
        <v>260</v>
      </c>
      <c r="D10" s="31" t="s">
        <v>282</v>
      </c>
      <c r="E10" s="38">
        <v>41649</v>
      </c>
      <c r="F10" s="35">
        <v>11</v>
      </c>
      <c r="G10" s="36">
        <v>4675</v>
      </c>
      <c r="H10" s="46"/>
      <c r="I10" s="47"/>
      <c r="J10" t="s">
        <v>276</v>
      </c>
      <c r="K10" s="41">
        <v>240</v>
      </c>
      <c r="L10" s="41">
        <v>197</v>
      </c>
      <c r="M10" s="41">
        <v>260</v>
      </c>
      <c r="N10" s="41">
        <v>293</v>
      </c>
      <c r="O10" s="41">
        <v>990</v>
      </c>
      <c r="P10"/>
      <c r="Q10"/>
      <c r="R10"/>
      <c r="S10"/>
      <c r="T10"/>
      <c r="U10"/>
      <c r="V10"/>
      <c r="W10"/>
      <c r="X10"/>
    </row>
    <row r="11" spans="1:25" x14ac:dyDescent="0.25">
      <c r="A11" s="31" t="s">
        <v>276</v>
      </c>
      <c r="B11" s="31" t="s">
        <v>271</v>
      </c>
      <c r="C11" s="31" t="s">
        <v>258</v>
      </c>
      <c r="D11" s="31" t="s">
        <v>269</v>
      </c>
      <c r="E11" s="38">
        <v>41650</v>
      </c>
      <c r="F11" s="35">
        <v>14</v>
      </c>
      <c r="G11" s="35">
        <v>5675</v>
      </c>
      <c r="H11" s="46"/>
      <c r="I11" s="47"/>
      <c r="J11" t="s">
        <v>274</v>
      </c>
      <c r="K11" s="41">
        <v>284</v>
      </c>
      <c r="L11" s="41">
        <v>208</v>
      </c>
      <c r="M11" s="41">
        <v>209</v>
      </c>
      <c r="N11" s="41">
        <v>220</v>
      </c>
      <c r="O11" s="41">
        <v>921</v>
      </c>
      <c r="P11"/>
      <c r="Q11"/>
      <c r="R11"/>
      <c r="S11"/>
      <c r="T11"/>
      <c r="U11"/>
      <c r="V11"/>
      <c r="W11"/>
      <c r="X11"/>
    </row>
    <row r="12" spans="1:25" x14ac:dyDescent="0.25">
      <c r="A12" s="31" t="s">
        <v>270</v>
      </c>
      <c r="B12" s="31" t="s">
        <v>273</v>
      </c>
      <c r="C12" s="31" t="s">
        <v>258</v>
      </c>
      <c r="D12" s="31" t="s">
        <v>282</v>
      </c>
      <c r="E12" s="38">
        <v>41651</v>
      </c>
      <c r="F12" s="35">
        <v>11</v>
      </c>
      <c r="G12" s="36">
        <v>4686</v>
      </c>
      <c r="H12" s="46"/>
      <c r="I12" s="47"/>
      <c r="J12" t="s">
        <v>279</v>
      </c>
      <c r="K12" s="41">
        <v>139</v>
      </c>
      <c r="L12" s="41">
        <v>163</v>
      </c>
      <c r="M12" s="41">
        <v>233</v>
      </c>
      <c r="N12" s="41">
        <v>205</v>
      </c>
      <c r="O12" s="41">
        <v>740</v>
      </c>
      <c r="P12"/>
      <c r="Q12"/>
      <c r="R12"/>
      <c r="S12"/>
      <c r="T12"/>
      <c r="U12"/>
      <c r="V12"/>
      <c r="W12"/>
      <c r="X12"/>
    </row>
    <row r="13" spans="1:25" x14ac:dyDescent="0.25">
      <c r="A13" s="31" t="s">
        <v>279</v>
      </c>
      <c r="B13" s="31" t="s">
        <v>271</v>
      </c>
      <c r="C13" s="31" t="s">
        <v>257</v>
      </c>
      <c r="D13" s="31" t="s">
        <v>282</v>
      </c>
      <c r="E13" s="38">
        <v>41652</v>
      </c>
      <c r="F13" s="35">
        <v>5</v>
      </c>
      <c r="G13" s="36">
        <v>2371</v>
      </c>
      <c r="H13" s="46"/>
      <c r="I13" s="47"/>
      <c r="J13" t="s">
        <v>280</v>
      </c>
      <c r="K13" s="41">
        <v>166</v>
      </c>
      <c r="L13" s="41">
        <v>128</v>
      </c>
      <c r="M13" s="41">
        <v>106</v>
      </c>
      <c r="N13" s="41">
        <v>139</v>
      </c>
      <c r="O13" s="41">
        <v>539</v>
      </c>
      <c r="P13"/>
      <c r="Q13"/>
      <c r="R13"/>
      <c r="S13"/>
      <c r="T13"/>
      <c r="U13"/>
      <c r="V13"/>
      <c r="W13"/>
      <c r="X13"/>
    </row>
    <row r="14" spans="1:25" x14ac:dyDescent="0.25">
      <c r="A14" s="31" t="s">
        <v>277</v>
      </c>
      <c r="B14" s="31" t="s">
        <v>262</v>
      </c>
      <c r="C14" s="31" t="s">
        <v>258</v>
      </c>
      <c r="D14" s="31" t="s">
        <v>269</v>
      </c>
      <c r="E14" s="38">
        <v>41653</v>
      </c>
      <c r="F14" s="35">
        <v>8</v>
      </c>
      <c r="G14" s="35">
        <v>2580</v>
      </c>
      <c r="H14" s="46"/>
      <c r="I14" s="47"/>
      <c r="J14" t="s">
        <v>277</v>
      </c>
      <c r="K14" s="41">
        <v>114</v>
      </c>
      <c r="L14" s="41">
        <v>135</v>
      </c>
      <c r="M14" s="41">
        <v>107</v>
      </c>
      <c r="N14" s="41">
        <v>113</v>
      </c>
      <c r="O14" s="41">
        <v>469</v>
      </c>
      <c r="P14"/>
      <c r="Q14"/>
      <c r="R14"/>
      <c r="S14"/>
      <c r="T14"/>
      <c r="U14"/>
      <c r="V14"/>
      <c r="W14"/>
      <c r="X14"/>
    </row>
    <row r="15" spans="1:25" x14ac:dyDescent="0.25">
      <c r="A15" s="31" t="s">
        <v>264</v>
      </c>
      <c r="B15" s="31" t="s">
        <v>273</v>
      </c>
      <c r="C15" s="31" t="s">
        <v>258</v>
      </c>
      <c r="D15" s="31" t="s">
        <v>269</v>
      </c>
      <c r="E15" s="38">
        <v>41654</v>
      </c>
      <c r="F15" s="35">
        <v>12</v>
      </c>
      <c r="G15" s="35">
        <v>6635</v>
      </c>
      <c r="H15" s="46"/>
      <c r="I15" s="47"/>
      <c r="J15" t="s">
        <v>281</v>
      </c>
      <c r="K15" s="41">
        <v>109</v>
      </c>
      <c r="L15" s="41">
        <v>77</v>
      </c>
      <c r="M15" s="41">
        <v>204</v>
      </c>
      <c r="N15" s="41">
        <v>186</v>
      </c>
      <c r="O15" s="41">
        <v>576</v>
      </c>
      <c r="P15"/>
      <c r="Q15"/>
      <c r="R15"/>
      <c r="S15"/>
      <c r="T15"/>
      <c r="U15"/>
      <c r="V15"/>
      <c r="W15"/>
      <c r="X15"/>
    </row>
    <row r="16" spans="1:25" x14ac:dyDescent="0.25">
      <c r="A16" s="31" t="s">
        <v>270</v>
      </c>
      <c r="B16" s="31" t="s">
        <v>266</v>
      </c>
      <c r="C16" s="31" t="s">
        <v>257</v>
      </c>
      <c r="D16" s="31" t="s">
        <v>269</v>
      </c>
      <c r="E16" s="38">
        <v>41655</v>
      </c>
      <c r="F16" s="35">
        <v>7</v>
      </c>
      <c r="G16" s="35">
        <v>3201</v>
      </c>
      <c r="H16" s="46"/>
      <c r="I16" s="47"/>
      <c r="J16" t="s">
        <v>270</v>
      </c>
      <c r="K16" s="41">
        <v>242</v>
      </c>
      <c r="L16" s="41">
        <v>189</v>
      </c>
      <c r="M16" s="41">
        <v>197</v>
      </c>
      <c r="N16" s="41">
        <v>144</v>
      </c>
      <c r="O16" s="41">
        <v>772</v>
      </c>
      <c r="P16"/>
      <c r="Q16"/>
      <c r="R16"/>
      <c r="S16"/>
      <c r="T16"/>
      <c r="U16"/>
      <c r="V16"/>
      <c r="W16"/>
      <c r="X16"/>
    </row>
    <row r="17" spans="1:24" x14ac:dyDescent="0.25">
      <c r="A17" s="31" t="s">
        <v>265</v>
      </c>
      <c r="B17" s="31" t="s">
        <v>278</v>
      </c>
      <c r="C17" s="31" t="s">
        <v>259</v>
      </c>
      <c r="D17" s="31" t="s">
        <v>267</v>
      </c>
      <c r="E17" s="38">
        <v>41656</v>
      </c>
      <c r="F17" s="35">
        <v>12</v>
      </c>
      <c r="G17" s="36">
        <v>4499</v>
      </c>
      <c r="H17" s="46"/>
      <c r="I17" s="47"/>
      <c r="J17" t="s">
        <v>283</v>
      </c>
      <c r="K17" s="41">
        <v>2220</v>
      </c>
      <c r="L17" s="41">
        <v>2129</v>
      </c>
      <c r="M17" s="41">
        <v>2329</v>
      </c>
      <c r="N17" s="41">
        <v>2230</v>
      </c>
      <c r="O17" s="41">
        <v>8908</v>
      </c>
      <c r="P17"/>
      <c r="Q17"/>
      <c r="R17"/>
      <c r="S17"/>
      <c r="T17"/>
      <c r="U17"/>
      <c r="V17"/>
      <c r="W17"/>
      <c r="X17"/>
    </row>
    <row r="18" spans="1:24" x14ac:dyDescent="0.25">
      <c r="A18" s="31" t="s">
        <v>268</v>
      </c>
      <c r="B18" s="31" t="s">
        <v>262</v>
      </c>
      <c r="C18" s="31" t="s">
        <v>260</v>
      </c>
      <c r="D18" s="31" t="s">
        <v>269</v>
      </c>
      <c r="E18" s="38">
        <v>41657</v>
      </c>
      <c r="F18" s="35">
        <v>15</v>
      </c>
      <c r="G18" s="35">
        <v>9222</v>
      </c>
      <c r="H18" s="46"/>
      <c r="I18" s="47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1:24" x14ac:dyDescent="0.25">
      <c r="A19" s="31" t="s">
        <v>270</v>
      </c>
      <c r="B19" s="31" t="s">
        <v>273</v>
      </c>
      <c r="C19" s="31" t="s">
        <v>259</v>
      </c>
      <c r="D19" s="31" t="s">
        <v>282</v>
      </c>
      <c r="E19" s="38">
        <v>41658</v>
      </c>
      <c r="F19" s="35">
        <v>11</v>
      </c>
      <c r="G19" s="36">
        <v>4356</v>
      </c>
      <c r="H19" s="46"/>
      <c r="I19" s="47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1:24" x14ac:dyDescent="0.25">
      <c r="A20" s="31" t="s">
        <v>268</v>
      </c>
      <c r="B20" s="31" t="s">
        <v>271</v>
      </c>
      <c r="C20" s="31" t="s">
        <v>259</v>
      </c>
      <c r="D20" s="31" t="s">
        <v>267</v>
      </c>
      <c r="E20" s="38">
        <v>41659</v>
      </c>
      <c r="F20" s="35">
        <v>5</v>
      </c>
      <c r="G20" s="36">
        <v>1375</v>
      </c>
      <c r="H20" s="46"/>
      <c r="I20" s="47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1:24" x14ac:dyDescent="0.25">
      <c r="A21" s="31" t="s">
        <v>265</v>
      </c>
      <c r="B21" s="31" t="s">
        <v>278</v>
      </c>
      <c r="C21" s="31" t="s">
        <v>259</v>
      </c>
      <c r="D21" s="31" t="s">
        <v>269</v>
      </c>
      <c r="E21" s="38">
        <v>41660</v>
      </c>
      <c r="F21" s="35">
        <v>21</v>
      </c>
      <c r="G21" s="35">
        <v>12716</v>
      </c>
      <c r="H21" s="46"/>
      <c r="I21" s="47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1:24" x14ac:dyDescent="0.25">
      <c r="A22" s="31" t="s">
        <v>274</v>
      </c>
      <c r="B22" s="31" t="s">
        <v>271</v>
      </c>
      <c r="C22" s="31" t="s">
        <v>258</v>
      </c>
      <c r="D22" s="31" t="s">
        <v>282</v>
      </c>
      <c r="E22" s="38">
        <v>41661</v>
      </c>
      <c r="F22" s="35">
        <v>9</v>
      </c>
      <c r="G22" s="36">
        <v>4455</v>
      </c>
      <c r="H22" s="46"/>
      <c r="I22" s="47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</row>
    <row r="23" spans="1:24" x14ac:dyDescent="0.25">
      <c r="A23" s="31" t="s">
        <v>261</v>
      </c>
      <c r="B23" s="31" t="s">
        <v>278</v>
      </c>
      <c r="C23" s="31" t="s">
        <v>257</v>
      </c>
      <c r="D23" s="31" t="s">
        <v>282</v>
      </c>
      <c r="E23" s="38">
        <v>41662</v>
      </c>
      <c r="F23" s="35">
        <v>12</v>
      </c>
      <c r="G23" s="36">
        <v>5506</v>
      </c>
      <c r="H23" s="46"/>
      <c r="I23" s="47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</row>
    <row r="24" spans="1:24" x14ac:dyDescent="0.25">
      <c r="A24" s="31" t="s">
        <v>276</v>
      </c>
      <c r="B24" s="31" t="s">
        <v>271</v>
      </c>
      <c r="C24" s="31" t="s">
        <v>258</v>
      </c>
      <c r="D24" s="31" t="s">
        <v>269</v>
      </c>
      <c r="E24" s="38">
        <v>41663</v>
      </c>
      <c r="F24" s="35">
        <v>8</v>
      </c>
      <c r="G24" s="35">
        <v>3273</v>
      </c>
      <c r="H24" s="46"/>
      <c r="I24" s="47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</row>
    <row r="25" spans="1:24" x14ac:dyDescent="0.25">
      <c r="A25" s="31" t="s">
        <v>276</v>
      </c>
      <c r="B25" s="31" t="s">
        <v>262</v>
      </c>
      <c r="C25" s="31" t="s">
        <v>257</v>
      </c>
      <c r="D25" s="31" t="s">
        <v>267</v>
      </c>
      <c r="E25" s="38">
        <v>41664</v>
      </c>
      <c r="F25" s="35">
        <v>14</v>
      </c>
      <c r="G25" s="36">
        <v>6105</v>
      </c>
      <c r="H25" s="46"/>
      <c r="I25" s="47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</row>
    <row r="26" spans="1:24" x14ac:dyDescent="0.25">
      <c r="A26" s="31" t="s">
        <v>277</v>
      </c>
      <c r="B26" s="31" t="s">
        <v>271</v>
      </c>
      <c r="C26" s="31" t="s">
        <v>258</v>
      </c>
      <c r="D26" s="31" t="s">
        <v>269</v>
      </c>
      <c r="E26" s="38">
        <v>41664</v>
      </c>
      <c r="F26" s="35">
        <v>9</v>
      </c>
      <c r="G26" s="35">
        <v>2860</v>
      </c>
      <c r="H26" s="46"/>
      <c r="I26" s="47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</row>
    <row r="27" spans="1:24" x14ac:dyDescent="0.25">
      <c r="A27" s="31" t="s">
        <v>279</v>
      </c>
      <c r="B27" s="31" t="s">
        <v>266</v>
      </c>
      <c r="C27" s="31" t="s">
        <v>257</v>
      </c>
      <c r="D27" s="31" t="s">
        <v>267</v>
      </c>
      <c r="E27" s="38">
        <v>41665</v>
      </c>
      <c r="F27" s="35">
        <v>11</v>
      </c>
      <c r="G27" s="36">
        <v>5555</v>
      </c>
      <c r="H27" s="46"/>
      <c r="I27" s="4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</row>
    <row r="28" spans="1:24" x14ac:dyDescent="0.25">
      <c r="A28" s="31" t="s">
        <v>268</v>
      </c>
      <c r="B28" s="31" t="s">
        <v>266</v>
      </c>
      <c r="C28" s="31" t="s">
        <v>260</v>
      </c>
      <c r="D28" s="31" t="s">
        <v>282</v>
      </c>
      <c r="E28" s="38">
        <v>41665</v>
      </c>
      <c r="F28" s="35">
        <v>8</v>
      </c>
      <c r="G28" s="36">
        <v>3768</v>
      </c>
      <c r="H28" s="46"/>
      <c r="I28" s="47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</row>
    <row r="29" spans="1:24" x14ac:dyDescent="0.25">
      <c r="A29" s="31" t="s">
        <v>281</v>
      </c>
      <c r="B29" s="31" t="s">
        <v>262</v>
      </c>
      <c r="C29" s="31" t="s">
        <v>259</v>
      </c>
      <c r="D29" s="31" t="s">
        <v>282</v>
      </c>
      <c r="E29" s="38">
        <v>41665</v>
      </c>
      <c r="F29" s="35">
        <v>9</v>
      </c>
      <c r="G29" s="36">
        <v>3564</v>
      </c>
      <c r="H29" s="46"/>
      <c r="I29" s="47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</row>
    <row r="30" spans="1:24" x14ac:dyDescent="0.25">
      <c r="A30" s="31" t="s">
        <v>272</v>
      </c>
      <c r="B30" s="31" t="s">
        <v>271</v>
      </c>
      <c r="C30" s="31" t="s">
        <v>259</v>
      </c>
      <c r="D30" s="31" t="s">
        <v>267</v>
      </c>
      <c r="E30" s="38">
        <v>41666</v>
      </c>
      <c r="F30" s="35">
        <v>5</v>
      </c>
      <c r="G30" s="36">
        <v>1986</v>
      </c>
      <c r="H30" s="46"/>
      <c r="I30" s="47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</row>
    <row r="31" spans="1:24" x14ac:dyDescent="0.25">
      <c r="A31" s="31" t="s">
        <v>265</v>
      </c>
      <c r="B31" s="31" t="s">
        <v>266</v>
      </c>
      <c r="C31" s="31" t="s">
        <v>258</v>
      </c>
      <c r="D31" s="31" t="s">
        <v>275</v>
      </c>
      <c r="E31" s="38">
        <v>41666</v>
      </c>
      <c r="F31" s="35">
        <v>6</v>
      </c>
      <c r="G31" s="36">
        <v>2547</v>
      </c>
      <c r="H31" s="46"/>
      <c r="I31" s="47"/>
      <c r="J31"/>
      <c r="K31"/>
      <c r="L31"/>
      <c r="M31"/>
      <c r="N31"/>
      <c r="O31"/>
      <c r="P31"/>
      <c r="Q31"/>
    </row>
    <row r="32" spans="1:24" x14ac:dyDescent="0.25">
      <c r="A32" s="31" t="s">
        <v>268</v>
      </c>
      <c r="B32" s="31" t="s">
        <v>262</v>
      </c>
      <c r="C32" s="31" t="s">
        <v>260</v>
      </c>
      <c r="D32" s="31" t="s">
        <v>282</v>
      </c>
      <c r="E32" s="38">
        <v>41666</v>
      </c>
      <c r="F32" s="35">
        <v>7</v>
      </c>
      <c r="G32" s="36">
        <v>3685</v>
      </c>
      <c r="H32" s="46"/>
      <c r="I32" s="47"/>
      <c r="J32"/>
      <c r="K32"/>
      <c r="L32"/>
      <c r="M32"/>
      <c r="N32"/>
      <c r="O32"/>
      <c r="P32"/>
      <c r="Q32"/>
    </row>
    <row r="33" spans="1:17" x14ac:dyDescent="0.25">
      <c r="A33" s="31" t="s">
        <v>280</v>
      </c>
      <c r="B33" s="31" t="s">
        <v>266</v>
      </c>
      <c r="C33" s="31" t="s">
        <v>260</v>
      </c>
      <c r="D33" s="31" t="s">
        <v>282</v>
      </c>
      <c r="E33" s="38">
        <v>41666</v>
      </c>
      <c r="F33" s="35">
        <v>8</v>
      </c>
      <c r="G33" s="36">
        <v>3064</v>
      </c>
      <c r="H33" s="46"/>
      <c r="I33" s="47"/>
      <c r="J33"/>
      <c r="K33"/>
      <c r="L33"/>
      <c r="M33"/>
      <c r="N33"/>
      <c r="O33"/>
      <c r="P33"/>
      <c r="Q33"/>
    </row>
    <row r="34" spans="1:17" x14ac:dyDescent="0.25">
      <c r="A34" s="31" t="s">
        <v>281</v>
      </c>
      <c r="B34" s="31" t="s">
        <v>278</v>
      </c>
      <c r="C34" s="31" t="s">
        <v>258</v>
      </c>
      <c r="D34" s="31" t="s">
        <v>282</v>
      </c>
      <c r="E34" s="38">
        <v>41666</v>
      </c>
      <c r="F34" s="35">
        <v>6</v>
      </c>
      <c r="G34" s="36">
        <v>3256</v>
      </c>
      <c r="H34" s="46"/>
      <c r="I34" s="47"/>
      <c r="J34"/>
      <c r="K34"/>
      <c r="L34"/>
      <c r="M34"/>
      <c r="N34"/>
      <c r="O34"/>
      <c r="P34"/>
      <c r="Q34"/>
    </row>
    <row r="35" spans="1:17" x14ac:dyDescent="0.25">
      <c r="A35" s="31" t="s">
        <v>276</v>
      </c>
      <c r="B35" s="31" t="s">
        <v>278</v>
      </c>
      <c r="C35" s="31" t="s">
        <v>260</v>
      </c>
      <c r="D35" s="31" t="s">
        <v>282</v>
      </c>
      <c r="E35" s="38">
        <v>41668</v>
      </c>
      <c r="F35" s="35">
        <v>11</v>
      </c>
      <c r="G35" s="36">
        <v>5412</v>
      </c>
      <c r="H35" s="46"/>
      <c r="I35" s="47"/>
      <c r="J35"/>
      <c r="K35"/>
      <c r="L35"/>
      <c r="M35"/>
      <c r="N35"/>
      <c r="O35"/>
      <c r="P35"/>
      <c r="Q35"/>
    </row>
    <row r="36" spans="1:17" x14ac:dyDescent="0.25">
      <c r="A36" s="31" t="s">
        <v>264</v>
      </c>
      <c r="B36" s="31" t="s">
        <v>262</v>
      </c>
      <c r="C36" s="31" t="s">
        <v>260</v>
      </c>
      <c r="D36" s="31" t="s">
        <v>269</v>
      </c>
      <c r="E36" s="38">
        <v>41669</v>
      </c>
      <c r="F36" s="35">
        <v>16</v>
      </c>
      <c r="G36" s="35">
        <v>9537</v>
      </c>
      <c r="H36" s="46"/>
      <c r="I36" s="47"/>
      <c r="J36"/>
      <c r="K36"/>
      <c r="L36"/>
      <c r="M36"/>
      <c r="N36"/>
      <c r="O36"/>
      <c r="P36"/>
      <c r="Q36"/>
    </row>
    <row r="37" spans="1:17" x14ac:dyDescent="0.25">
      <c r="A37" s="31" t="s">
        <v>274</v>
      </c>
      <c r="B37" s="31" t="s">
        <v>262</v>
      </c>
      <c r="C37" s="31" t="s">
        <v>260</v>
      </c>
      <c r="D37" s="31" t="s">
        <v>269</v>
      </c>
      <c r="E37" s="38">
        <v>41669</v>
      </c>
      <c r="F37" s="35">
        <v>13</v>
      </c>
      <c r="G37" s="35">
        <v>7685</v>
      </c>
      <c r="H37" s="46"/>
      <c r="I37" s="47"/>
      <c r="J37"/>
      <c r="K37"/>
      <c r="L37"/>
      <c r="M37"/>
      <c r="N37"/>
      <c r="O37"/>
      <c r="P37"/>
      <c r="Q37"/>
    </row>
    <row r="38" spans="1:17" x14ac:dyDescent="0.25">
      <c r="A38" s="31" t="s">
        <v>261</v>
      </c>
      <c r="B38" s="31" t="s">
        <v>262</v>
      </c>
      <c r="C38" s="31" t="s">
        <v>260</v>
      </c>
      <c r="D38" s="31" t="s">
        <v>269</v>
      </c>
      <c r="E38" s="38">
        <v>41669</v>
      </c>
      <c r="F38" s="35">
        <v>10</v>
      </c>
      <c r="G38" s="35">
        <v>5569</v>
      </c>
      <c r="H38" s="46"/>
      <c r="I38" s="47"/>
      <c r="J38"/>
      <c r="K38"/>
      <c r="L38"/>
      <c r="M38"/>
      <c r="N38"/>
      <c r="O38"/>
      <c r="P38"/>
      <c r="Q38"/>
    </row>
    <row r="39" spans="1:17" x14ac:dyDescent="0.25">
      <c r="A39" s="31" t="s">
        <v>276</v>
      </c>
      <c r="B39" s="31" t="s">
        <v>262</v>
      </c>
      <c r="C39" s="31" t="s">
        <v>260</v>
      </c>
      <c r="D39" s="31" t="s">
        <v>269</v>
      </c>
      <c r="E39" s="38">
        <v>41669</v>
      </c>
      <c r="F39" s="35">
        <v>18</v>
      </c>
      <c r="G39" s="35">
        <v>8641</v>
      </c>
      <c r="H39" s="46"/>
      <c r="I39" s="47"/>
      <c r="J39"/>
      <c r="K39"/>
      <c r="L39"/>
      <c r="M39"/>
      <c r="N39"/>
      <c r="O39"/>
      <c r="P39"/>
      <c r="Q39"/>
    </row>
    <row r="40" spans="1:17" x14ac:dyDescent="0.25">
      <c r="A40" s="31" t="s">
        <v>276</v>
      </c>
      <c r="B40" s="31" t="s">
        <v>262</v>
      </c>
      <c r="C40" s="31" t="s">
        <v>259</v>
      </c>
      <c r="D40" s="31" t="s">
        <v>269</v>
      </c>
      <c r="E40" s="38">
        <v>41669</v>
      </c>
      <c r="F40" s="35">
        <v>8</v>
      </c>
      <c r="G40" s="35">
        <v>2618</v>
      </c>
      <c r="H40" s="46"/>
      <c r="I40" s="47"/>
      <c r="J40"/>
      <c r="K40"/>
      <c r="L40"/>
      <c r="M40"/>
      <c r="N40"/>
      <c r="O40"/>
      <c r="P40"/>
      <c r="Q40"/>
    </row>
    <row r="41" spans="1:17" x14ac:dyDescent="0.25">
      <c r="A41" s="31" t="s">
        <v>270</v>
      </c>
      <c r="B41" s="31" t="s">
        <v>262</v>
      </c>
      <c r="C41" s="31" t="s">
        <v>259</v>
      </c>
      <c r="D41" s="31" t="s">
        <v>269</v>
      </c>
      <c r="E41" s="38">
        <v>41669</v>
      </c>
      <c r="F41" s="35">
        <v>12</v>
      </c>
      <c r="G41" s="35">
        <v>5667</v>
      </c>
      <c r="H41" s="46"/>
      <c r="I41" s="47"/>
      <c r="J41"/>
      <c r="K41"/>
      <c r="L41"/>
      <c r="M41"/>
      <c r="N41"/>
      <c r="O41"/>
      <c r="P41"/>
      <c r="Q41"/>
    </row>
    <row r="42" spans="1:17" x14ac:dyDescent="0.25">
      <c r="A42" s="31" t="s">
        <v>265</v>
      </c>
      <c r="B42" s="31" t="s">
        <v>278</v>
      </c>
      <c r="C42" s="31" t="s">
        <v>257</v>
      </c>
      <c r="D42" s="31" t="s">
        <v>275</v>
      </c>
      <c r="E42" s="38">
        <v>41671</v>
      </c>
      <c r="F42" s="35">
        <v>10</v>
      </c>
      <c r="G42" s="36">
        <v>3179</v>
      </c>
      <c r="H42" s="46"/>
      <c r="I42" s="47"/>
      <c r="J42"/>
      <c r="K42"/>
      <c r="L42"/>
      <c r="M42"/>
      <c r="N42"/>
      <c r="O42"/>
      <c r="P42"/>
      <c r="Q42"/>
    </row>
    <row r="43" spans="1:17" x14ac:dyDescent="0.25">
      <c r="A43" s="31" t="s">
        <v>265</v>
      </c>
      <c r="B43" s="31" t="s">
        <v>278</v>
      </c>
      <c r="C43" s="31" t="s">
        <v>257</v>
      </c>
      <c r="D43" s="31" t="s">
        <v>275</v>
      </c>
      <c r="E43" s="38">
        <v>41671</v>
      </c>
      <c r="F43" s="35">
        <v>15</v>
      </c>
      <c r="G43" s="36">
        <v>5220</v>
      </c>
      <c r="H43" s="46"/>
      <c r="I43" s="47"/>
      <c r="J43"/>
      <c r="K43"/>
      <c r="L43"/>
      <c r="M43"/>
      <c r="N43"/>
      <c r="O43"/>
      <c r="P43"/>
      <c r="Q43"/>
    </row>
    <row r="44" spans="1:17" x14ac:dyDescent="0.25">
      <c r="A44" s="31" t="s">
        <v>274</v>
      </c>
      <c r="B44" s="31" t="s">
        <v>262</v>
      </c>
      <c r="C44" s="31" t="s">
        <v>260</v>
      </c>
      <c r="D44" s="31" t="s">
        <v>282</v>
      </c>
      <c r="E44" s="38">
        <v>41672</v>
      </c>
      <c r="F44" s="35">
        <v>4</v>
      </c>
      <c r="G44" s="36">
        <v>1826</v>
      </c>
      <c r="H44" s="46"/>
      <c r="I44" s="47"/>
      <c r="J44"/>
      <c r="K44"/>
      <c r="L44"/>
      <c r="M44"/>
      <c r="N44"/>
      <c r="O44"/>
      <c r="P44"/>
      <c r="Q44"/>
    </row>
    <row r="45" spans="1:17" x14ac:dyDescent="0.25">
      <c r="A45" s="31" t="s">
        <v>265</v>
      </c>
      <c r="B45" s="31" t="s">
        <v>262</v>
      </c>
      <c r="C45" s="31" t="s">
        <v>260</v>
      </c>
      <c r="D45" s="31" t="s">
        <v>282</v>
      </c>
      <c r="E45" s="38">
        <v>41672</v>
      </c>
      <c r="F45" s="35">
        <v>2</v>
      </c>
      <c r="G45" s="36">
        <v>622</v>
      </c>
      <c r="H45" s="46"/>
      <c r="I45" s="47"/>
      <c r="J45"/>
      <c r="K45"/>
      <c r="L45"/>
      <c r="M45"/>
      <c r="N45"/>
      <c r="O45"/>
      <c r="P45"/>
      <c r="Q45"/>
    </row>
    <row r="46" spans="1:17" x14ac:dyDescent="0.25">
      <c r="A46" s="31" t="s">
        <v>272</v>
      </c>
      <c r="B46" s="31" t="s">
        <v>266</v>
      </c>
      <c r="C46" s="31" t="s">
        <v>259</v>
      </c>
      <c r="D46" s="31" t="s">
        <v>275</v>
      </c>
      <c r="E46" s="38">
        <v>41674</v>
      </c>
      <c r="F46" s="35">
        <v>12</v>
      </c>
      <c r="G46" s="36">
        <v>5044</v>
      </c>
      <c r="H46" s="46"/>
      <c r="I46" s="47"/>
      <c r="J46"/>
      <c r="K46"/>
      <c r="L46"/>
      <c r="M46"/>
      <c r="N46"/>
      <c r="O46"/>
      <c r="P46"/>
      <c r="Q46"/>
    </row>
    <row r="47" spans="1:17" x14ac:dyDescent="0.25">
      <c r="A47" s="31" t="s">
        <v>279</v>
      </c>
      <c r="B47" s="31" t="s">
        <v>266</v>
      </c>
      <c r="C47" s="31" t="s">
        <v>259</v>
      </c>
      <c r="D47" s="31" t="s">
        <v>275</v>
      </c>
      <c r="E47" s="38">
        <v>41674</v>
      </c>
      <c r="F47" s="35">
        <v>5</v>
      </c>
      <c r="G47" s="36">
        <v>2519</v>
      </c>
      <c r="H47" s="46"/>
      <c r="I47" s="47"/>
      <c r="J47"/>
      <c r="K47"/>
      <c r="L47"/>
      <c r="M47"/>
      <c r="N47"/>
      <c r="O47"/>
      <c r="P47"/>
      <c r="Q47"/>
    </row>
    <row r="48" spans="1:17" x14ac:dyDescent="0.25">
      <c r="A48" s="31" t="s">
        <v>272</v>
      </c>
      <c r="B48" s="31" t="s">
        <v>278</v>
      </c>
      <c r="C48" s="31" t="s">
        <v>259</v>
      </c>
      <c r="D48" s="31" t="s">
        <v>269</v>
      </c>
      <c r="E48" s="38">
        <v>41675</v>
      </c>
      <c r="F48" s="35">
        <v>15</v>
      </c>
      <c r="G48" s="35">
        <v>5202</v>
      </c>
      <c r="H48" s="46"/>
      <c r="I48" s="47"/>
      <c r="J48"/>
      <c r="K48"/>
      <c r="L48"/>
      <c r="M48"/>
      <c r="N48"/>
      <c r="O48"/>
      <c r="P48"/>
      <c r="Q48"/>
    </row>
    <row r="49" spans="1:17" x14ac:dyDescent="0.25">
      <c r="A49" s="31" t="s">
        <v>272</v>
      </c>
      <c r="B49" s="31" t="s">
        <v>278</v>
      </c>
      <c r="C49" s="31" t="s">
        <v>259</v>
      </c>
      <c r="D49" s="31" t="s">
        <v>269</v>
      </c>
      <c r="E49" s="38">
        <v>41675</v>
      </c>
      <c r="F49" s="35">
        <v>9</v>
      </c>
      <c r="G49" s="35">
        <v>2698</v>
      </c>
      <c r="H49" s="46"/>
      <c r="I49" s="47"/>
      <c r="J49"/>
      <c r="K49"/>
      <c r="L49"/>
      <c r="M49"/>
      <c r="N49"/>
      <c r="O49"/>
      <c r="P49"/>
      <c r="Q49"/>
    </row>
    <row r="50" spans="1:17" x14ac:dyDescent="0.25">
      <c r="A50" s="31" t="s">
        <v>261</v>
      </c>
      <c r="B50" s="31" t="s">
        <v>273</v>
      </c>
      <c r="C50" s="31" t="s">
        <v>259</v>
      </c>
      <c r="D50" s="31" t="s">
        <v>269</v>
      </c>
      <c r="E50" s="38">
        <v>41675</v>
      </c>
      <c r="F50" s="35">
        <v>9</v>
      </c>
      <c r="G50" s="35">
        <v>3138</v>
      </c>
      <c r="H50" s="46"/>
      <c r="I50" s="47"/>
      <c r="J50"/>
      <c r="K50"/>
      <c r="L50"/>
      <c r="M50"/>
      <c r="N50"/>
      <c r="O50"/>
      <c r="P50"/>
      <c r="Q50"/>
    </row>
    <row r="51" spans="1:17" x14ac:dyDescent="0.25">
      <c r="A51" s="31" t="s">
        <v>277</v>
      </c>
      <c r="B51" s="31" t="s">
        <v>271</v>
      </c>
      <c r="C51" s="31" t="s">
        <v>257</v>
      </c>
      <c r="D51" s="31" t="s">
        <v>267</v>
      </c>
      <c r="E51" s="38">
        <v>41675</v>
      </c>
      <c r="F51" s="35">
        <v>7</v>
      </c>
      <c r="G51" s="36">
        <v>2871</v>
      </c>
      <c r="H51" s="46"/>
      <c r="I51" s="47"/>
      <c r="J51"/>
      <c r="K51"/>
      <c r="L51"/>
      <c r="M51"/>
      <c r="N51"/>
      <c r="O51"/>
      <c r="P51"/>
      <c r="Q51"/>
    </row>
    <row r="52" spans="1:17" x14ac:dyDescent="0.25">
      <c r="A52" s="31" t="s">
        <v>276</v>
      </c>
      <c r="B52" s="31" t="s">
        <v>271</v>
      </c>
      <c r="C52" s="31" t="s">
        <v>257</v>
      </c>
      <c r="D52" s="31" t="s">
        <v>267</v>
      </c>
      <c r="E52" s="38">
        <v>41675</v>
      </c>
      <c r="F52" s="35">
        <v>5</v>
      </c>
      <c r="G52" s="36">
        <v>1865</v>
      </c>
      <c r="H52" s="46"/>
      <c r="I52" s="47"/>
      <c r="J52"/>
      <c r="K52"/>
      <c r="L52"/>
      <c r="M52"/>
      <c r="N52"/>
      <c r="O52"/>
      <c r="P52"/>
      <c r="Q52"/>
    </row>
    <row r="53" spans="1:17" x14ac:dyDescent="0.25">
      <c r="A53" s="31" t="s">
        <v>272</v>
      </c>
      <c r="B53" s="31" t="s">
        <v>273</v>
      </c>
      <c r="C53" s="31" t="s">
        <v>259</v>
      </c>
      <c r="D53" s="31" t="s">
        <v>269</v>
      </c>
      <c r="E53" s="38">
        <v>41675</v>
      </c>
      <c r="F53" s="35">
        <v>14</v>
      </c>
      <c r="G53" s="35">
        <v>5908</v>
      </c>
      <c r="H53" s="46"/>
      <c r="I53" s="47"/>
      <c r="J53"/>
      <c r="K53"/>
      <c r="L53"/>
      <c r="M53"/>
      <c r="N53"/>
      <c r="O53"/>
      <c r="P53"/>
      <c r="Q53"/>
    </row>
    <row r="54" spans="1:17" x14ac:dyDescent="0.25">
      <c r="A54" s="31" t="s">
        <v>272</v>
      </c>
      <c r="B54" s="31" t="s">
        <v>278</v>
      </c>
      <c r="C54" s="31" t="s">
        <v>260</v>
      </c>
      <c r="D54" s="31" t="s">
        <v>269</v>
      </c>
      <c r="E54" s="38">
        <v>41678</v>
      </c>
      <c r="F54" s="35">
        <v>18</v>
      </c>
      <c r="G54" s="35">
        <v>8003</v>
      </c>
      <c r="H54" s="46"/>
      <c r="I54" s="47"/>
      <c r="J54"/>
      <c r="K54"/>
      <c r="L54"/>
      <c r="M54"/>
      <c r="N54"/>
      <c r="O54"/>
      <c r="P54"/>
      <c r="Q54"/>
    </row>
    <row r="55" spans="1:17" x14ac:dyDescent="0.25">
      <c r="A55" s="31" t="s">
        <v>279</v>
      </c>
      <c r="B55" s="31" t="s">
        <v>266</v>
      </c>
      <c r="C55" s="31" t="s">
        <v>260</v>
      </c>
      <c r="D55" s="31" t="s">
        <v>275</v>
      </c>
      <c r="E55" s="38">
        <v>41679</v>
      </c>
      <c r="F55" s="35">
        <v>2</v>
      </c>
      <c r="G55" s="36">
        <v>572</v>
      </c>
      <c r="H55" s="46"/>
      <c r="I55" s="47"/>
      <c r="J55"/>
      <c r="K55"/>
      <c r="L55"/>
      <c r="M55"/>
      <c r="N55"/>
      <c r="O55"/>
      <c r="P55"/>
      <c r="Q55"/>
    </row>
    <row r="56" spans="1:17" x14ac:dyDescent="0.25">
      <c r="A56" s="31" t="s">
        <v>270</v>
      </c>
      <c r="B56" s="31" t="s">
        <v>273</v>
      </c>
      <c r="C56" s="31" t="s">
        <v>257</v>
      </c>
      <c r="D56" s="31" t="s">
        <v>282</v>
      </c>
      <c r="E56" s="38">
        <v>41679</v>
      </c>
      <c r="F56" s="35">
        <v>12</v>
      </c>
      <c r="G56" s="36">
        <v>3729</v>
      </c>
      <c r="H56" s="46"/>
      <c r="I56" s="47"/>
      <c r="J56"/>
      <c r="K56"/>
      <c r="L56"/>
      <c r="M56"/>
      <c r="N56"/>
      <c r="O56"/>
      <c r="P56"/>
      <c r="Q56"/>
    </row>
    <row r="57" spans="1:17" x14ac:dyDescent="0.25">
      <c r="A57" s="31" t="s">
        <v>268</v>
      </c>
      <c r="B57" s="31" t="s">
        <v>266</v>
      </c>
      <c r="C57" s="31" t="s">
        <v>259</v>
      </c>
      <c r="D57" s="31" t="s">
        <v>269</v>
      </c>
      <c r="E57" s="38">
        <v>41682</v>
      </c>
      <c r="F57" s="35">
        <v>15</v>
      </c>
      <c r="G57" s="35">
        <v>5433</v>
      </c>
      <c r="H57" s="46"/>
      <c r="I57" s="47"/>
      <c r="J57"/>
      <c r="K57"/>
      <c r="L57"/>
      <c r="M57"/>
      <c r="N57"/>
      <c r="O57"/>
      <c r="P57"/>
      <c r="Q57"/>
    </row>
    <row r="58" spans="1:17" x14ac:dyDescent="0.25">
      <c r="A58" s="31" t="s">
        <v>276</v>
      </c>
      <c r="B58" s="31" t="s">
        <v>266</v>
      </c>
      <c r="C58" s="31" t="s">
        <v>259</v>
      </c>
      <c r="D58" s="31" t="s">
        <v>275</v>
      </c>
      <c r="E58" s="38">
        <v>41682</v>
      </c>
      <c r="F58" s="35">
        <v>6</v>
      </c>
      <c r="G58" s="36">
        <v>2563</v>
      </c>
      <c r="H58" s="46"/>
      <c r="I58" s="47"/>
      <c r="J58"/>
      <c r="K58"/>
      <c r="L58"/>
      <c r="M58"/>
      <c r="N58"/>
      <c r="O58"/>
      <c r="P58"/>
    </row>
    <row r="59" spans="1:17" x14ac:dyDescent="0.25">
      <c r="A59" s="31" t="s">
        <v>274</v>
      </c>
      <c r="B59" s="31" t="s">
        <v>278</v>
      </c>
      <c r="C59" s="31" t="s">
        <v>257</v>
      </c>
      <c r="D59" s="31" t="s">
        <v>269</v>
      </c>
      <c r="E59" s="38">
        <v>41682</v>
      </c>
      <c r="F59" s="35">
        <v>16</v>
      </c>
      <c r="G59" s="35">
        <v>5082</v>
      </c>
      <c r="H59" s="46"/>
      <c r="I59" s="47"/>
      <c r="J59"/>
      <c r="K59"/>
      <c r="L59"/>
      <c r="M59"/>
      <c r="N59"/>
      <c r="O59"/>
      <c r="P59"/>
    </row>
    <row r="60" spans="1:17" x14ac:dyDescent="0.25">
      <c r="A60" s="31" t="s">
        <v>280</v>
      </c>
      <c r="B60" s="31" t="s">
        <v>278</v>
      </c>
      <c r="C60" s="31" t="s">
        <v>260</v>
      </c>
      <c r="D60" s="31" t="s">
        <v>269</v>
      </c>
      <c r="E60" s="38">
        <v>41682</v>
      </c>
      <c r="F60" s="35">
        <v>21</v>
      </c>
      <c r="G60" s="35">
        <v>7084</v>
      </c>
      <c r="H60" s="46"/>
      <c r="I60" s="47"/>
      <c r="J60"/>
      <c r="K60"/>
      <c r="L60"/>
      <c r="M60"/>
      <c r="N60"/>
      <c r="O60"/>
      <c r="P60"/>
    </row>
    <row r="61" spans="1:17" x14ac:dyDescent="0.25">
      <c r="A61" s="31" t="s">
        <v>274</v>
      </c>
      <c r="B61" s="31" t="s">
        <v>266</v>
      </c>
      <c r="C61" s="31" t="s">
        <v>260</v>
      </c>
      <c r="D61" s="31" t="s">
        <v>267</v>
      </c>
      <c r="E61" s="38">
        <v>41682</v>
      </c>
      <c r="F61" s="35">
        <v>10</v>
      </c>
      <c r="G61" s="36">
        <v>3982</v>
      </c>
      <c r="H61" s="46"/>
      <c r="I61" s="47"/>
      <c r="J61"/>
      <c r="K61"/>
      <c r="L61"/>
      <c r="M61"/>
      <c r="N61"/>
      <c r="O61"/>
      <c r="P61"/>
    </row>
    <row r="62" spans="1:17" x14ac:dyDescent="0.25">
      <c r="A62" s="31" t="s">
        <v>264</v>
      </c>
      <c r="B62" s="31" t="s">
        <v>266</v>
      </c>
      <c r="C62" s="31" t="s">
        <v>260</v>
      </c>
      <c r="D62" s="31" t="s">
        <v>269</v>
      </c>
      <c r="E62" s="38">
        <v>41683</v>
      </c>
      <c r="F62" s="35">
        <v>19</v>
      </c>
      <c r="G62" s="35">
        <v>11149</v>
      </c>
      <c r="H62" s="46"/>
      <c r="I62" s="47"/>
      <c r="J62"/>
      <c r="K62"/>
      <c r="L62"/>
      <c r="M62"/>
      <c r="N62"/>
      <c r="O62"/>
      <c r="P62"/>
    </row>
    <row r="63" spans="1:17" x14ac:dyDescent="0.25">
      <c r="A63" s="31" t="s">
        <v>265</v>
      </c>
      <c r="B63" s="31" t="s">
        <v>273</v>
      </c>
      <c r="C63" s="31" t="s">
        <v>260</v>
      </c>
      <c r="D63" s="31" t="s">
        <v>275</v>
      </c>
      <c r="E63" s="38">
        <v>41683</v>
      </c>
      <c r="F63" s="35">
        <v>9</v>
      </c>
      <c r="G63" s="36">
        <v>4736</v>
      </c>
      <c r="H63" s="46"/>
      <c r="I63" s="47"/>
      <c r="J63"/>
      <c r="K63"/>
      <c r="L63"/>
      <c r="M63"/>
      <c r="N63"/>
      <c r="O63"/>
      <c r="P63"/>
    </row>
    <row r="64" spans="1:17" x14ac:dyDescent="0.25">
      <c r="A64" s="31" t="s">
        <v>268</v>
      </c>
      <c r="B64" s="31" t="s">
        <v>266</v>
      </c>
      <c r="C64" s="31" t="s">
        <v>257</v>
      </c>
      <c r="D64" s="31" t="s">
        <v>275</v>
      </c>
      <c r="E64" s="38">
        <v>41684</v>
      </c>
      <c r="F64" s="35">
        <v>15</v>
      </c>
      <c r="G64" s="36">
        <v>4945</v>
      </c>
      <c r="H64" s="46"/>
      <c r="I64" s="47"/>
      <c r="J64"/>
      <c r="K64"/>
      <c r="L64"/>
      <c r="M64"/>
      <c r="N64"/>
      <c r="O64"/>
      <c r="P64"/>
    </row>
    <row r="65" spans="1:16" x14ac:dyDescent="0.25">
      <c r="A65" s="31" t="s">
        <v>274</v>
      </c>
      <c r="B65" s="31" t="s">
        <v>262</v>
      </c>
      <c r="C65" s="31" t="s">
        <v>257</v>
      </c>
      <c r="D65" s="31" t="s">
        <v>282</v>
      </c>
      <c r="E65" s="38">
        <v>41685</v>
      </c>
      <c r="F65" s="35">
        <v>3</v>
      </c>
      <c r="G65" s="36">
        <v>677</v>
      </c>
      <c r="H65" s="46"/>
      <c r="I65" s="47"/>
      <c r="J65"/>
      <c r="K65"/>
      <c r="L65"/>
      <c r="M65"/>
      <c r="N65"/>
      <c r="O65"/>
      <c r="P65"/>
    </row>
    <row r="66" spans="1:16" x14ac:dyDescent="0.25">
      <c r="A66" s="31" t="s">
        <v>274</v>
      </c>
      <c r="B66" s="31" t="s">
        <v>262</v>
      </c>
      <c r="C66" s="31" t="s">
        <v>258</v>
      </c>
      <c r="D66" s="31" t="s">
        <v>269</v>
      </c>
      <c r="E66" s="38">
        <v>41685</v>
      </c>
      <c r="F66" s="35">
        <v>19</v>
      </c>
      <c r="G66" s="35">
        <v>11210</v>
      </c>
      <c r="H66" s="46"/>
      <c r="I66" s="47"/>
      <c r="J66"/>
      <c r="K66"/>
      <c r="L66"/>
      <c r="M66"/>
      <c r="N66"/>
      <c r="O66"/>
      <c r="P66"/>
    </row>
    <row r="67" spans="1:16" x14ac:dyDescent="0.25">
      <c r="A67" s="31" t="s">
        <v>276</v>
      </c>
      <c r="B67" s="31" t="s">
        <v>266</v>
      </c>
      <c r="C67" s="31" t="s">
        <v>260</v>
      </c>
      <c r="D67" s="31" t="s">
        <v>269</v>
      </c>
      <c r="E67" s="38">
        <v>41686</v>
      </c>
      <c r="F67" s="35">
        <v>18</v>
      </c>
      <c r="G67" s="35">
        <v>8003</v>
      </c>
      <c r="H67" s="46"/>
      <c r="I67" s="47"/>
      <c r="J67"/>
      <c r="K67"/>
      <c r="L67"/>
      <c r="M67"/>
      <c r="N67"/>
      <c r="O67"/>
      <c r="P67"/>
    </row>
    <row r="68" spans="1:16" x14ac:dyDescent="0.25">
      <c r="A68" s="31" t="s">
        <v>276</v>
      </c>
      <c r="B68" s="31" t="s">
        <v>262</v>
      </c>
      <c r="C68" s="31" t="s">
        <v>258</v>
      </c>
      <c r="D68" s="31" t="s">
        <v>275</v>
      </c>
      <c r="E68" s="38">
        <v>41686</v>
      </c>
      <c r="F68" s="35">
        <v>13</v>
      </c>
      <c r="G68" s="36">
        <v>5121</v>
      </c>
      <c r="H68" s="46"/>
      <c r="I68" s="47"/>
      <c r="J68"/>
      <c r="K68"/>
      <c r="L68"/>
      <c r="M68"/>
      <c r="N68"/>
      <c r="O68"/>
      <c r="P68"/>
    </row>
    <row r="69" spans="1:16" x14ac:dyDescent="0.25">
      <c r="A69" s="31" t="s">
        <v>265</v>
      </c>
      <c r="B69" s="31" t="s">
        <v>271</v>
      </c>
      <c r="C69" s="31" t="s">
        <v>257</v>
      </c>
      <c r="D69" s="31" t="s">
        <v>282</v>
      </c>
      <c r="E69" s="38">
        <v>41690</v>
      </c>
      <c r="F69" s="35">
        <v>15</v>
      </c>
      <c r="G69" s="36">
        <v>7761</v>
      </c>
      <c r="H69" s="46"/>
      <c r="I69" s="47"/>
      <c r="J69"/>
      <c r="K69"/>
      <c r="L69"/>
      <c r="M69"/>
      <c r="N69"/>
      <c r="O69"/>
      <c r="P69"/>
    </row>
    <row r="70" spans="1:16" x14ac:dyDescent="0.25">
      <c r="A70" s="31" t="s">
        <v>264</v>
      </c>
      <c r="B70" s="31" t="s">
        <v>266</v>
      </c>
      <c r="C70" s="31" t="s">
        <v>257</v>
      </c>
      <c r="D70" s="31" t="s">
        <v>267</v>
      </c>
      <c r="E70" s="38">
        <v>41692</v>
      </c>
      <c r="F70" s="35">
        <v>10</v>
      </c>
      <c r="G70" s="36">
        <v>3091</v>
      </c>
      <c r="H70" s="46"/>
      <c r="I70" s="47"/>
      <c r="J70"/>
      <c r="K70"/>
      <c r="L70"/>
      <c r="M70"/>
      <c r="N70"/>
      <c r="O70"/>
      <c r="P70"/>
    </row>
    <row r="71" spans="1:16" x14ac:dyDescent="0.25">
      <c r="A71" s="31" t="s">
        <v>268</v>
      </c>
      <c r="B71" s="31" t="s">
        <v>271</v>
      </c>
      <c r="C71" s="31" t="s">
        <v>258</v>
      </c>
      <c r="D71" s="31" t="s">
        <v>269</v>
      </c>
      <c r="E71" s="38">
        <v>41696</v>
      </c>
      <c r="F71" s="35">
        <v>21</v>
      </c>
      <c r="G71" s="35">
        <v>7744</v>
      </c>
      <c r="H71" s="46"/>
      <c r="I71" s="47"/>
      <c r="J71"/>
      <c r="K71"/>
      <c r="L71"/>
      <c r="M71"/>
      <c r="N71"/>
      <c r="O71"/>
      <c r="P71"/>
    </row>
    <row r="72" spans="1:16" x14ac:dyDescent="0.25">
      <c r="A72" s="31" t="s">
        <v>274</v>
      </c>
      <c r="B72" s="31" t="s">
        <v>273</v>
      </c>
      <c r="C72" s="31" t="s">
        <v>257</v>
      </c>
      <c r="D72" s="31" t="s">
        <v>267</v>
      </c>
      <c r="E72" s="38">
        <v>41696</v>
      </c>
      <c r="F72" s="35">
        <v>5</v>
      </c>
      <c r="G72" s="36">
        <v>1920</v>
      </c>
      <c r="H72" s="46"/>
      <c r="I72" s="47"/>
      <c r="J72"/>
      <c r="K72"/>
      <c r="L72"/>
      <c r="M72"/>
      <c r="N72"/>
      <c r="O72"/>
      <c r="P72"/>
    </row>
    <row r="73" spans="1:16" x14ac:dyDescent="0.25">
      <c r="A73" s="31" t="s">
        <v>261</v>
      </c>
      <c r="B73" s="31" t="s">
        <v>278</v>
      </c>
      <c r="C73" s="31" t="s">
        <v>260</v>
      </c>
      <c r="D73" s="31" t="s">
        <v>282</v>
      </c>
      <c r="E73" s="38">
        <v>41697</v>
      </c>
      <c r="F73" s="35">
        <v>11</v>
      </c>
      <c r="G73" s="36">
        <v>4290</v>
      </c>
      <c r="H73" s="46"/>
      <c r="I73" s="47"/>
      <c r="J73"/>
      <c r="K73"/>
      <c r="L73"/>
      <c r="M73"/>
      <c r="N73"/>
      <c r="O73"/>
      <c r="P73"/>
    </row>
    <row r="74" spans="1:16" x14ac:dyDescent="0.25">
      <c r="A74" s="31" t="s">
        <v>274</v>
      </c>
      <c r="B74" s="31" t="s">
        <v>278</v>
      </c>
      <c r="C74" s="31" t="s">
        <v>259</v>
      </c>
      <c r="D74" s="31" t="s">
        <v>267</v>
      </c>
      <c r="E74" s="38">
        <v>41699</v>
      </c>
      <c r="F74" s="35">
        <v>13</v>
      </c>
      <c r="G74" s="36">
        <v>7535</v>
      </c>
      <c r="H74" s="46"/>
      <c r="I74" s="47"/>
      <c r="J74"/>
      <c r="K74"/>
      <c r="L74"/>
      <c r="M74"/>
      <c r="N74"/>
      <c r="O74"/>
      <c r="P74"/>
    </row>
    <row r="75" spans="1:16" x14ac:dyDescent="0.25">
      <c r="A75" s="31" t="s">
        <v>264</v>
      </c>
      <c r="B75" s="31" t="s">
        <v>273</v>
      </c>
      <c r="C75" s="31" t="s">
        <v>260</v>
      </c>
      <c r="D75" s="31" t="s">
        <v>267</v>
      </c>
      <c r="E75" s="38">
        <v>41700</v>
      </c>
      <c r="F75" s="35">
        <v>12</v>
      </c>
      <c r="G75" s="36">
        <v>5093</v>
      </c>
      <c r="H75" s="46"/>
      <c r="I75" s="47"/>
      <c r="J75"/>
      <c r="K75"/>
      <c r="L75"/>
      <c r="M75"/>
      <c r="N75"/>
      <c r="O75"/>
      <c r="P75"/>
    </row>
    <row r="76" spans="1:16" x14ac:dyDescent="0.25">
      <c r="A76" s="31" t="s">
        <v>264</v>
      </c>
      <c r="B76" s="31" t="s">
        <v>271</v>
      </c>
      <c r="C76" s="31" t="s">
        <v>258</v>
      </c>
      <c r="D76" s="31" t="s">
        <v>263</v>
      </c>
      <c r="E76" s="38">
        <v>41701</v>
      </c>
      <c r="F76" s="35">
        <v>2</v>
      </c>
      <c r="G76" s="36">
        <v>484</v>
      </c>
      <c r="H76" s="46"/>
      <c r="I76" s="47"/>
      <c r="J76"/>
      <c r="K76"/>
      <c r="L76"/>
      <c r="M76"/>
      <c r="N76"/>
      <c r="O76"/>
      <c r="P76"/>
    </row>
    <row r="77" spans="1:16" x14ac:dyDescent="0.25">
      <c r="A77" s="31" t="s">
        <v>261</v>
      </c>
      <c r="B77" s="31" t="s">
        <v>273</v>
      </c>
      <c r="C77" s="31" t="s">
        <v>257</v>
      </c>
      <c r="D77" s="31" t="s">
        <v>282</v>
      </c>
      <c r="E77" s="38">
        <v>41704</v>
      </c>
      <c r="F77" s="35">
        <v>16</v>
      </c>
      <c r="G77" s="36">
        <v>9339</v>
      </c>
      <c r="H77" s="46"/>
      <c r="I77" s="47"/>
      <c r="J77"/>
      <c r="K77"/>
      <c r="L77"/>
      <c r="M77"/>
      <c r="N77"/>
      <c r="O77"/>
      <c r="P77"/>
    </row>
    <row r="78" spans="1:16" x14ac:dyDescent="0.25">
      <c r="A78" s="31" t="s">
        <v>272</v>
      </c>
      <c r="B78" s="31" t="s">
        <v>266</v>
      </c>
      <c r="C78" s="31" t="s">
        <v>258</v>
      </c>
      <c r="D78" s="31" t="s">
        <v>267</v>
      </c>
      <c r="E78" s="38">
        <v>41704</v>
      </c>
      <c r="F78" s="35">
        <v>9</v>
      </c>
      <c r="G78" s="36">
        <v>4092</v>
      </c>
      <c r="H78" s="46"/>
      <c r="I78" s="47"/>
      <c r="J78"/>
      <c r="K78"/>
      <c r="L78"/>
      <c r="M78"/>
    </row>
    <row r="79" spans="1:16" x14ac:dyDescent="0.25">
      <c r="A79" s="31" t="s">
        <v>265</v>
      </c>
      <c r="B79" s="31" t="s">
        <v>262</v>
      </c>
      <c r="C79" s="31" t="s">
        <v>258</v>
      </c>
      <c r="D79" s="31" t="s">
        <v>263</v>
      </c>
      <c r="E79" s="38">
        <v>41704</v>
      </c>
      <c r="F79" s="35">
        <v>7</v>
      </c>
      <c r="G79" s="36">
        <v>2860</v>
      </c>
      <c r="H79" s="46"/>
      <c r="I79" s="47"/>
      <c r="J79"/>
      <c r="K79"/>
      <c r="L79"/>
      <c r="M79"/>
    </row>
    <row r="80" spans="1:16" x14ac:dyDescent="0.25">
      <c r="A80" s="31" t="s">
        <v>268</v>
      </c>
      <c r="B80" s="31" t="s">
        <v>266</v>
      </c>
      <c r="C80" s="31" t="s">
        <v>257</v>
      </c>
      <c r="D80" s="31" t="s">
        <v>275</v>
      </c>
      <c r="E80" s="38">
        <v>41705</v>
      </c>
      <c r="F80" s="35">
        <v>9</v>
      </c>
      <c r="G80" s="36">
        <v>2712</v>
      </c>
      <c r="H80" s="46"/>
      <c r="I80" s="47"/>
      <c r="J80"/>
      <c r="K80"/>
      <c r="L80"/>
      <c r="M80"/>
    </row>
    <row r="81" spans="1:13" x14ac:dyDescent="0.25">
      <c r="A81" s="31" t="s">
        <v>264</v>
      </c>
      <c r="B81" s="31" t="s">
        <v>262</v>
      </c>
      <c r="C81" s="31" t="s">
        <v>259</v>
      </c>
      <c r="D81" s="31" t="s">
        <v>275</v>
      </c>
      <c r="E81" s="38">
        <v>41705</v>
      </c>
      <c r="F81" s="35">
        <v>3</v>
      </c>
      <c r="G81" s="36">
        <v>1111</v>
      </c>
      <c r="H81" s="46"/>
      <c r="I81" s="47"/>
      <c r="J81"/>
      <c r="K81"/>
      <c r="L81"/>
      <c r="M81"/>
    </row>
    <row r="82" spans="1:13" x14ac:dyDescent="0.25">
      <c r="A82" s="31" t="s">
        <v>276</v>
      </c>
      <c r="B82" s="31" t="s">
        <v>262</v>
      </c>
      <c r="C82" s="31" t="s">
        <v>259</v>
      </c>
      <c r="D82" s="31" t="s">
        <v>275</v>
      </c>
      <c r="E82" s="38">
        <v>41705</v>
      </c>
      <c r="F82" s="35">
        <v>10</v>
      </c>
      <c r="G82" s="36">
        <v>4901</v>
      </c>
      <c r="H82" s="46"/>
      <c r="I82" s="47"/>
      <c r="J82"/>
      <c r="K82"/>
      <c r="L82"/>
      <c r="M82"/>
    </row>
    <row r="83" spans="1:13" x14ac:dyDescent="0.25">
      <c r="A83" s="31" t="s">
        <v>281</v>
      </c>
      <c r="B83" s="31" t="s">
        <v>262</v>
      </c>
      <c r="C83" s="31" t="s">
        <v>259</v>
      </c>
      <c r="D83" s="31" t="s">
        <v>269</v>
      </c>
      <c r="E83" s="38">
        <v>41705</v>
      </c>
      <c r="F83" s="35">
        <v>18</v>
      </c>
      <c r="G83" s="35">
        <v>10940</v>
      </c>
      <c r="H83" s="46"/>
      <c r="I83" s="47"/>
      <c r="J83"/>
      <c r="K83"/>
      <c r="L83"/>
      <c r="M83"/>
    </row>
    <row r="84" spans="1:13" x14ac:dyDescent="0.25">
      <c r="A84" s="31" t="s">
        <v>281</v>
      </c>
      <c r="B84" s="31" t="s">
        <v>271</v>
      </c>
      <c r="C84" s="31" t="s">
        <v>258</v>
      </c>
      <c r="D84" s="31" t="s">
        <v>267</v>
      </c>
      <c r="E84" s="38">
        <v>41706</v>
      </c>
      <c r="F84" s="35">
        <v>6</v>
      </c>
      <c r="G84" s="36">
        <v>2552</v>
      </c>
      <c r="H84" s="46"/>
      <c r="I84" s="47"/>
      <c r="J84"/>
      <c r="K84"/>
      <c r="L84"/>
      <c r="M84"/>
    </row>
    <row r="85" spans="1:13" x14ac:dyDescent="0.25">
      <c r="A85" s="31" t="s">
        <v>272</v>
      </c>
      <c r="B85" s="31" t="s">
        <v>266</v>
      </c>
      <c r="C85" s="31" t="s">
        <v>260</v>
      </c>
      <c r="D85" s="31" t="s">
        <v>267</v>
      </c>
      <c r="E85" s="38">
        <v>41708</v>
      </c>
      <c r="F85" s="35">
        <v>12</v>
      </c>
      <c r="G85" s="36">
        <v>5011</v>
      </c>
      <c r="H85" s="46"/>
      <c r="I85" s="47"/>
      <c r="J85"/>
      <c r="K85"/>
      <c r="L85"/>
      <c r="M85"/>
    </row>
    <row r="86" spans="1:13" x14ac:dyDescent="0.25">
      <c r="A86" s="31" t="s">
        <v>280</v>
      </c>
      <c r="B86" s="31" t="s">
        <v>278</v>
      </c>
      <c r="C86" s="31" t="s">
        <v>260</v>
      </c>
      <c r="D86" s="31" t="s">
        <v>263</v>
      </c>
      <c r="E86" s="38">
        <v>41710</v>
      </c>
      <c r="F86" s="35">
        <v>2</v>
      </c>
      <c r="G86" s="36">
        <v>561</v>
      </c>
      <c r="H86" s="46"/>
      <c r="I86" s="47"/>
      <c r="J86"/>
      <c r="K86"/>
      <c r="L86"/>
      <c r="M86"/>
    </row>
    <row r="87" spans="1:13" x14ac:dyDescent="0.25">
      <c r="A87" s="31" t="s">
        <v>281</v>
      </c>
      <c r="B87" s="31" t="s">
        <v>262</v>
      </c>
      <c r="C87" s="31" t="s">
        <v>259</v>
      </c>
      <c r="D87" s="31" t="s">
        <v>263</v>
      </c>
      <c r="E87" s="38">
        <v>41710</v>
      </c>
      <c r="F87" s="35">
        <v>12</v>
      </c>
      <c r="G87" s="36">
        <v>5605</v>
      </c>
      <c r="H87" s="46"/>
      <c r="I87" s="47"/>
      <c r="J87"/>
      <c r="K87"/>
      <c r="L87"/>
      <c r="M87"/>
    </row>
    <row r="88" spans="1:13" x14ac:dyDescent="0.25">
      <c r="A88" s="31" t="s">
        <v>274</v>
      </c>
      <c r="B88" s="31" t="s">
        <v>278</v>
      </c>
      <c r="C88" s="31" t="s">
        <v>260</v>
      </c>
      <c r="D88" s="31" t="s">
        <v>267</v>
      </c>
      <c r="E88" s="38">
        <v>41710</v>
      </c>
      <c r="F88" s="35">
        <v>10</v>
      </c>
      <c r="G88" s="36">
        <v>5038</v>
      </c>
      <c r="H88" s="46"/>
      <c r="I88" s="47"/>
      <c r="J88"/>
      <c r="K88"/>
      <c r="L88"/>
      <c r="M88"/>
    </row>
    <row r="89" spans="1:13" x14ac:dyDescent="0.25">
      <c r="A89" s="31" t="s">
        <v>270</v>
      </c>
      <c r="B89" s="31" t="s">
        <v>278</v>
      </c>
      <c r="C89" s="31" t="s">
        <v>257</v>
      </c>
      <c r="D89" s="31" t="s">
        <v>267</v>
      </c>
      <c r="E89" s="38">
        <v>41711</v>
      </c>
      <c r="F89" s="35">
        <v>6</v>
      </c>
      <c r="G89" s="35">
        <v>1925</v>
      </c>
      <c r="H89" s="46"/>
      <c r="I89" s="47"/>
      <c r="J89"/>
      <c r="K89"/>
      <c r="L89"/>
      <c r="M89"/>
    </row>
    <row r="90" spans="1:13" x14ac:dyDescent="0.25">
      <c r="A90" s="31" t="s">
        <v>276</v>
      </c>
      <c r="B90" s="31" t="s">
        <v>273</v>
      </c>
      <c r="C90" s="31" t="s">
        <v>260</v>
      </c>
      <c r="D90" s="31" t="s">
        <v>282</v>
      </c>
      <c r="E90" s="38">
        <v>41712</v>
      </c>
      <c r="F90" s="35">
        <v>13</v>
      </c>
      <c r="G90" s="35">
        <v>6177</v>
      </c>
      <c r="H90" s="46"/>
      <c r="I90" s="47"/>
      <c r="J90"/>
      <c r="K90"/>
      <c r="L90"/>
      <c r="M90"/>
    </row>
    <row r="91" spans="1:13" x14ac:dyDescent="0.25">
      <c r="A91" s="31" t="s">
        <v>261</v>
      </c>
      <c r="B91" s="31" t="s">
        <v>271</v>
      </c>
      <c r="C91" s="31" t="s">
        <v>257</v>
      </c>
      <c r="D91" s="31" t="s">
        <v>275</v>
      </c>
      <c r="E91" s="38">
        <v>41713</v>
      </c>
      <c r="F91" s="35">
        <v>2</v>
      </c>
      <c r="G91" s="35">
        <v>358</v>
      </c>
      <c r="H91" s="46"/>
      <c r="I91" s="47"/>
      <c r="J91"/>
      <c r="K91"/>
      <c r="L91"/>
      <c r="M91"/>
    </row>
    <row r="92" spans="1:13" x14ac:dyDescent="0.25">
      <c r="A92" s="31" t="s">
        <v>261</v>
      </c>
      <c r="B92" s="31" t="s">
        <v>266</v>
      </c>
      <c r="C92" s="31" t="s">
        <v>260</v>
      </c>
      <c r="D92" s="31" t="s">
        <v>275</v>
      </c>
      <c r="E92" s="38">
        <v>41713</v>
      </c>
      <c r="F92" s="35">
        <v>10</v>
      </c>
      <c r="G92" s="35">
        <v>4928</v>
      </c>
      <c r="H92" s="46"/>
      <c r="I92" s="47"/>
      <c r="J92"/>
      <c r="K92"/>
      <c r="L92"/>
      <c r="M92"/>
    </row>
    <row r="93" spans="1:13" x14ac:dyDescent="0.25">
      <c r="A93" s="31" t="s">
        <v>264</v>
      </c>
      <c r="B93" s="31" t="s">
        <v>271</v>
      </c>
      <c r="C93" s="31" t="s">
        <v>258</v>
      </c>
      <c r="D93" s="31" t="s">
        <v>269</v>
      </c>
      <c r="E93" s="38">
        <v>41715</v>
      </c>
      <c r="F93" s="35">
        <v>17</v>
      </c>
      <c r="G93" s="35">
        <v>9152</v>
      </c>
      <c r="H93" s="46"/>
      <c r="I93" s="47"/>
      <c r="J93"/>
      <c r="K93"/>
      <c r="L93"/>
      <c r="M93"/>
    </row>
    <row r="94" spans="1:13" x14ac:dyDescent="0.25">
      <c r="A94" s="31" t="s">
        <v>265</v>
      </c>
      <c r="B94" s="31" t="s">
        <v>266</v>
      </c>
      <c r="C94" s="31" t="s">
        <v>258</v>
      </c>
      <c r="D94" s="31" t="s">
        <v>282</v>
      </c>
      <c r="E94" s="38">
        <v>41718</v>
      </c>
      <c r="F94" s="35">
        <v>9</v>
      </c>
      <c r="G94" s="35">
        <v>4928</v>
      </c>
      <c r="H94" s="46"/>
      <c r="I94" s="47"/>
      <c r="J94"/>
      <c r="K94"/>
      <c r="L94"/>
      <c r="M94"/>
    </row>
    <row r="95" spans="1:13" x14ac:dyDescent="0.25">
      <c r="A95" s="31" t="s">
        <v>279</v>
      </c>
      <c r="B95" s="31" t="s">
        <v>271</v>
      </c>
      <c r="C95" s="31" t="s">
        <v>259</v>
      </c>
      <c r="D95" s="31" t="s">
        <v>263</v>
      </c>
      <c r="E95" s="38">
        <v>41719</v>
      </c>
      <c r="F95" s="35">
        <v>7</v>
      </c>
      <c r="G95" s="35">
        <v>3889</v>
      </c>
      <c r="H95" s="46"/>
      <c r="I95" s="47"/>
      <c r="J95"/>
      <c r="K95"/>
      <c r="L95"/>
      <c r="M95"/>
    </row>
    <row r="96" spans="1:13" x14ac:dyDescent="0.25">
      <c r="A96" s="31" t="s">
        <v>264</v>
      </c>
      <c r="B96" s="31" t="s">
        <v>278</v>
      </c>
      <c r="C96" s="31" t="s">
        <v>260</v>
      </c>
      <c r="D96" s="31" t="s">
        <v>269</v>
      </c>
      <c r="E96" s="38">
        <v>41719</v>
      </c>
      <c r="F96" s="35">
        <v>21</v>
      </c>
      <c r="G96" s="35">
        <v>6666</v>
      </c>
      <c r="H96" s="46"/>
      <c r="I96" s="47"/>
      <c r="J96"/>
      <c r="K96"/>
      <c r="L96"/>
      <c r="M96"/>
    </row>
    <row r="97" spans="1:13" x14ac:dyDescent="0.25">
      <c r="A97" s="31" t="s">
        <v>280</v>
      </c>
      <c r="B97" s="31" t="s">
        <v>271</v>
      </c>
      <c r="C97" s="31" t="s">
        <v>258</v>
      </c>
      <c r="D97" s="31" t="s">
        <v>269</v>
      </c>
      <c r="E97" s="38">
        <v>41721</v>
      </c>
      <c r="F97" s="35">
        <v>21</v>
      </c>
      <c r="G97" s="35">
        <v>10626</v>
      </c>
      <c r="H97" s="46"/>
      <c r="I97" s="47"/>
      <c r="J97"/>
      <c r="K97"/>
      <c r="L97"/>
      <c r="M97"/>
    </row>
    <row r="98" spans="1:13" x14ac:dyDescent="0.25">
      <c r="A98" s="31" t="s">
        <v>265</v>
      </c>
      <c r="B98" s="31" t="s">
        <v>271</v>
      </c>
      <c r="C98" s="31" t="s">
        <v>258</v>
      </c>
      <c r="D98" s="31" t="s">
        <v>267</v>
      </c>
      <c r="E98" s="38">
        <v>41722</v>
      </c>
      <c r="F98" s="35">
        <v>16</v>
      </c>
      <c r="G98" s="35">
        <v>5759</v>
      </c>
      <c r="H98" s="46"/>
      <c r="I98" s="47"/>
      <c r="J98"/>
      <c r="K98"/>
      <c r="L98"/>
      <c r="M98"/>
    </row>
    <row r="99" spans="1:13" x14ac:dyDescent="0.25">
      <c r="A99" s="31" t="s">
        <v>281</v>
      </c>
      <c r="B99" s="31" t="s">
        <v>262</v>
      </c>
      <c r="C99" s="31" t="s">
        <v>258</v>
      </c>
      <c r="D99" s="31" t="s">
        <v>263</v>
      </c>
      <c r="E99" s="38">
        <v>41725</v>
      </c>
      <c r="F99" s="35">
        <v>10</v>
      </c>
      <c r="G99" s="35">
        <v>5918</v>
      </c>
      <c r="H99" s="46"/>
      <c r="I99" s="47"/>
      <c r="J99"/>
      <c r="K99"/>
      <c r="L99"/>
      <c r="M99"/>
    </row>
    <row r="100" spans="1:13" x14ac:dyDescent="0.25">
      <c r="A100" s="31" t="s">
        <v>272</v>
      </c>
      <c r="B100" s="31" t="s">
        <v>266</v>
      </c>
      <c r="C100" s="31" t="s">
        <v>258</v>
      </c>
      <c r="D100" s="31" t="s">
        <v>282</v>
      </c>
      <c r="E100" s="38">
        <v>41725</v>
      </c>
      <c r="F100" s="35">
        <v>8</v>
      </c>
      <c r="G100" s="35">
        <v>3009</v>
      </c>
      <c r="H100" s="46"/>
      <c r="I100" s="47"/>
      <c r="J100"/>
      <c r="K100"/>
      <c r="L100"/>
      <c r="M100"/>
    </row>
    <row r="101" spans="1:13" x14ac:dyDescent="0.25">
      <c r="A101" s="31" t="s">
        <v>279</v>
      </c>
      <c r="B101" s="31" t="s">
        <v>278</v>
      </c>
      <c r="C101" s="31" t="s">
        <v>260</v>
      </c>
      <c r="D101" s="31" t="s">
        <v>282</v>
      </c>
      <c r="E101" s="38">
        <v>41727</v>
      </c>
      <c r="F101" s="35">
        <v>7</v>
      </c>
      <c r="G101" s="35">
        <v>2123</v>
      </c>
      <c r="H101" s="46"/>
      <c r="I101" s="47"/>
      <c r="J101"/>
      <c r="K101"/>
      <c r="L101"/>
      <c r="M101"/>
    </row>
    <row r="102" spans="1:13" x14ac:dyDescent="0.25">
      <c r="A102" s="31" t="s">
        <v>274</v>
      </c>
      <c r="B102" s="31" t="s">
        <v>273</v>
      </c>
      <c r="C102" s="31" t="s">
        <v>257</v>
      </c>
      <c r="D102" s="31" t="s">
        <v>267</v>
      </c>
      <c r="E102" s="38">
        <v>41728</v>
      </c>
      <c r="F102" s="35">
        <v>15</v>
      </c>
      <c r="G102" s="35">
        <v>7282</v>
      </c>
      <c r="H102" s="46"/>
      <c r="I102" s="47"/>
      <c r="J102"/>
      <c r="K102"/>
      <c r="L102"/>
      <c r="M102"/>
    </row>
    <row r="103" spans="1:13" x14ac:dyDescent="0.25">
      <c r="A103" s="31" t="s">
        <v>264</v>
      </c>
      <c r="B103" s="31" t="s">
        <v>271</v>
      </c>
      <c r="C103" s="31" t="s">
        <v>257</v>
      </c>
      <c r="D103" s="31" t="s">
        <v>275</v>
      </c>
      <c r="E103" s="38">
        <v>41728</v>
      </c>
      <c r="F103" s="35">
        <v>4</v>
      </c>
      <c r="G103" s="35">
        <v>1727</v>
      </c>
      <c r="H103" s="46"/>
      <c r="I103" s="47"/>
      <c r="J103"/>
      <c r="K103"/>
      <c r="L103"/>
      <c r="M103"/>
    </row>
    <row r="104" spans="1:13" x14ac:dyDescent="0.25">
      <c r="A104" s="31" t="s">
        <v>277</v>
      </c>
      <c r="B104" s="31" t="s">
        <v>262</v>
      </c>
      <c r="C104" s="31" t="s">
        <v>257</v>
      </c>
      <c r="D104" s="31" t="s">
        <v>263</v>
      </c>
      <c r="E104" s="38">
        <v>41729</v>
      </c>
      <c r="F104" s="35">
        <v>6</v>
      </c>
      <c r="G104" s="35">
        <v>2877</v>
      </c>
      <c r="H104" s="46"/>
      <c r="I104" s="47"/>
      <c r="J104"/>
      <c r="K104"/>
      <c r="L104"/>
      <c r="M104"/>
    </row>
    <row r="105" spans="1:13" x14ac:dyDescent="0.25">
      <c r="A105" s="31" t="s">
        <v>264</v>
      </c>
      <c r="B105" s="31" t="s">
        <v>262</v>
      </c>
      <c r="C105" s="31" t="s">
        <v>259</v>
      </c>
      <c r="D105" s="31" t="s">
        <v>282</v>
      </c>
      <c r="E105" s="38">
        <v>41731</v>
      </c>
      <c r="F105" s="35">
        <v>4</v>
      </c>
      <c r="G105" s="35">
        <v>1458</v>
      </c>
      <c r="H105" s="46"/>
      <c r="I105" s="47"/>
      <c r="J105"/>
      <c r="K105"/>
      <c r="L105"/>
      <c r="M105"/>
    </row>
    <row r="106" spans="1:13" x14ac:dyDescent="0.25">
      <c r="A106" s="31" t="s">
        <v>261</v>
      </c>
      <c r="B106" s="31" t="s">
        <v>271</v>
      </c>
      <c r="C106" s="31" t="s">
        <v>257</v>
      </c>
      <c r="D106" s="31" t="s">
        <v>263</v>
      </c>
      <c r="E106" s="38">
        <v>41732</v>
      </c>
      <c r="F106" s="35">
        <v>3</v>
      </c>
      <c r="G106" s="35">
        <v>1045</v>
      </c>
      <c r="H106" s="46"/>
      <c r="I106" s="47"/>
      <c r="J106"/>
      <c r="K106"/>
      <c r="L106"/>
      <c r="M106"/>
    </row>
    <row r="107" spans="1:13" x14ac:dyDescent="0.25">
      <c r="A107" s="31" t="s">
        <v>276</v>
      </c>
      <c r="B107" s="31" t="s">
        <v>273</v>
      </c>
      <c r="C107" s="31" t="s">
        <v>259</v>
      </c>
      <c r="D107" s="31" t="s">
        <v>275</v>
      </c>
      <c r="E107" s="38">
        <v>41732</v>
      </c>
      <c r="F107" s="35">
        <v>14</v>
      </c>
      <c r="G107" s="35">
        <v>8349</v>
      </c>
      <c r="H107" s="46"/>
      <c r="I107" s="47"/>
      <c r="J107"/>
      <c r="K107"/>
      <c r="L107"/>
      <c r="M107"/>
    </row>
    <row r="108" spans="1:13" x14ac:dyDescent="0.25">
      <c r="A108" s="31" t="s">
        <v>274</v>
      </c>
      <c r="B108" s="31" t="s">
        <v>278</v>
      </c>
      <c r="C108" s="31" t="s">
        <v>257</v>
      </c>
      <c r="D108" s="31" t="s">
        <v>282</v>
      </c>
      <c r="E108" s="38">
        <v>41732</v>
      </c>
      <c r="F108" s="35">
        <v>14</v>
      </c>
      <c r="G108" s="35">
        <v>7964</v>
      </c>
      <c r="H108" s="46"/>
      <c r="I108" s="47"/>
      <c r="J108"/>
      <c r="K108"/>
      <c r="L108"/>
      <c r="M108"/>
    </row>
    <row r="109" spans="1:13" x14ac:dyDescent="0.25">
      <c r="A109" s="31" t="s">
        <v>281</v>
      </c>
      <c r="B109" s="31" t="s">
        <v>271</v>
      </c>
      <c r="C109" s="31" t="s">
        <v>259</v>
      </c>
      <c r="D109" s="31" t="s">
        <v>269</v>
      </c>
      <c r="E109" s="38">
        <v>41732</v>
      </c>
      <c r="F109" s="35">
        <v>19</v>
      </c>
      <c r="G109" s="35">
        <v>9405</v>
      </c>
      <c r="H109" s="46"/>
      <c r="I109" s="47"/>
      <c r="J109"/>
      <c r="K109"/>
      <c r="L109"/>
      <c r="M109"/>
    </row>
    <row r="110" spans="1:13" x14ac:dyDescent="0.25">
      <c r="A110" s="31" t="s">
        <v>276</v>
      </c>
      <c r="B110" s="31" t="s">
        <v>271</v>
      </c>
      <c r="C110" s="31" t="s">
        <v>257</v>
      </c>
      <c r="D110" s="31" t="s">
        <v>282</v>
      </c>
      <c r="E110" s="38">
        <v>41732</v>
      </c>
      <c r="F110" s="35">
        <v>12</v>
      </c>
      <c r="G110" s="35">
        <v>6919</v>
      </c>
      <c r="H110" s="46"/>
      <c r="I110" s="47"/>
      <c r="J110"/>
      <c r="K110"/>
      <c r="L110"/>
      <c r="M110"/>
    </row>
    <row r="111" spans="1:13" x14ac:dyDescent="0.25">
      <c r="A111" s="31" t="s">
        <v>270</v>
      </c>
      <c r="B111" s="31" t="s">
        <v>271</v>
      </c>
      <c r="C111" s="31" t="s">
        <v>257</v>
      </c>
      <c r="D111" s="31" t="s">
        <v>263</v>
      </c>
      <c r="E111" s="38">
        <v>41732</v>
      </c>
      <c r="F111" s="35">
        <v>7</v>
      </c>
      <c r="G111" s="35">
        <v>3542</v>
      </c>
      <c r="H111" s="46"/>
      <c r="I111" s="47"/>
      <c r="J111"/>
      <c r="K111"/>
      <c r="L111"/>
      <c r="M111"/>
    </row>
    <row r="112" spans="1:13" x14ac:dyDescent="0.25">
      <c r="A112" s="31" t="s">
        <v>274</v>
      </c>
      <c r="B112" s="31" t="s">
        <v>278</v>
      </c>
      <c r="C112" s="31" t="s">
        <v>259</v>
      </c>
      <c r="D112" s="31" t="s">
        <v>267</v>
      </c>
      <c r="E112" s="38">
        <v>41733</v>
      </c>
      <c r="F112" s="35">
        <v>14</v>
      </c>
      <c r="G112" s="35">
        <v>5489</v>
      </c>
      <c r="H112" s="46"/>
      <c r="I112" s="47"/>
      <c r="J112"/>
      <c r="K112"/>
      <c r="L112"/>
      <c r="M112"/>
    </row>
    <row r="113" spans="1:13" x14ac:dyDescent="0.25">
      <c r="A113" s="31" t="s">
        <v>265</v>
      </c>
      <c r="B113" s="31" t="s">
        <v>273</v>
      </c>
      <c r="C113" s="31" t="s">
        <v>257</v>
      </c>
      <c r="D113" s="31" t="s">
        <v>282</v>
      </c>
      <c r="E113" s="38">
        <v>41734</v>
      </c>
      <c r="F113" s="35">
        <v>4</v>
      </c>
      <c r="G113" s="35">
        <v>1628</v>
      </c>
      <c r="H113" s="46"/>
      <c r="I113" s="47"/>
      <c r="J113"/>
      <c r="K113"/>
      <c r="L113"/>
      <c r="M113"/>
    </row>
    <row r="114" spans="1:13" x14ac:dyDescent="0.25">
      <c r="A114" s="31" t="s">
        <v>274</v>
      </c>
      <c r="B114" s="31" t="s">
        <v>273</v>
      </c>
      <c r="C114" s="31" t="s">
        <v>257</v>
      </c>
      <c r="D114" s="31" t="s">
        <v>275</v>
      </c>
      <c r="E114" s="38">
        <v>41736</v>
      </c>
      <c r="F114" s="35">
        <v>11</v>
      </c>
      <c r="G114" s="35">
        <v>6325</v>
      </c>
      <c r="H114" s="46"/>
      <c r="I114" s="47"/>
      <c r="J114"/>
      <c r="K114"/>
      <c r="L114"/>
      <c r="M114"/>
    </row>
    <row r="115" spans="1:13" x14ac:dyDescent="0.25">
      <c r="A115" s="31" t="s">
        <v>281</v>
      </c>
      <c r="B115" s="31" t="s">
        <v>262</v>
      </c>
      <c r="C115" s="31" t="s">
        <v>260</v>
      </c>
      <c r="D115" s="31" t="s">
        <v>263</v>
      </c>
      <c r="E115" s="38">
        <v>41736</v>
      </c>
      <c r="F115" s="35">
        <v>9</v>
      </c>
      <c r="G115" s="35">
        <v>4989</v>
      </c>
      <c r="H115" s="46"/>
      <c r="I115" s="47"/>
      <c r="J115"/>
      <c r="K115"/>
      <c r="L115"/>
      <c r="M115"/>
    </row>
    <row r="116" spans="1:13" x14ac:dyDescent="0.25">
      <c r="A116" s="31" t="s">
        <v>281</v>
      </c>
      <c r="B116" s="31" t="s">
        <v>271</v>
      </c>
      <c r="C116" s="31" t="s">
        <v>260</v>
      </c>
      <c r="D116" s="31" t="s">
        <v>282</v>
      </c>
      <c r="E116" s="38">
        <v>41736</v>
      </c>
      <c r="F116" s="35">
        <v>15</v>
      </c>
      <c r="G116" s="35">
        <v>5423</v>
      </c>
      <c r="H116" s="46"/>
      <c r="I116" s="47"/>
      <c r="J116"/>
      <c r="K116"/>
      <c r="L116"/>
      <c r="M116"/>
    </row>
    <row r="117" spans="1:13" x14ac:dyDescent="0.25">
      <c r="A117" s="31" t="s">
        <v>261</v>
      </c>
      <c r="B117" s="31" t="s">
        <v>266</v>
      </c>
      <c r="C117" s="31" t="s">
        <v>257</v>
      </c>
      <c r="D117" s="31" t="s">
        <v>282</v>
      </c>
      <c r="E117" s="38">
        <v>41738</v>
      </c>
      <c r="F117" s="35">
        <v>5</v>
      </c>
      <c r="G117" s="35">
        <v>1826</v>
      </c>
      <c r="H117" s="46"/>
      <c r="I117" s="47"/>
      <c r="J117"/>
      <c r="K117"/>
      <c r="L117"/>
      <c r="M117"/>
    </row>
    <row r="118" spans="1:13" x14ac:dyDescent="0.25">
      <c r="A118" s="31" t="s">
        <v>281</v>
      </c>
      <c r="B118" s="31" t="s">
        <v>271</v>
      </c>
      <c r="C118" s="31" t="s">
        <v>257</v>
      </c>
      <c r="D118" s="31" t="s">
        <v>282</v>
      </c>
      <c r="E118" s="38">
        <v>41738</v>
      </c>
      <c r="F118" s="35">
        <v>5</v>
      </c>
      <c r="G118" s="35">
        <v>2057</v>
      </c>
      <c r="H118" s="46"/>
      <c r="I118" s="47"/>
      <c r="J118"/>
      <c r="K118"/>
      <c r="L118"/>
      <c r="M118"/>
    </row>
    <row r="119" spans="1:13" x14ac:dyDescent="0.25">
      <c r="A119" s="31" t="s">
        <v>261</v>
      </c>
      <c r="B119" s="31" t="s">
        <v>273</v>
      </c>
      <c r="C119" s="31" t="s">
        <v>259</v>
      </c>
      <c r="D119" s="31" t="s">
        <v>263</v>
      </c>
      <c r="E119" s="38">
        <v>41739</v>
      </c>
      <c r="F119" s="35">
        <v>13</v>
      </c>
      <c r="G119" s="35">
        <v>4763</v>
      </c>
      <c r="H119" s="46"/>
      <c r="I119" s="47"/>
      <c r="J119"/>
      <c r="K119"/>
      <c r="L119"/>
      <c r="M119"/>
    </row>
    <row r="120" spans="1:13" x14ac:dyDescent="0.25">
      <c r="A120" s="31" t="s">
        <v>265</v>
      </c>
      <c r="B120" s="31" t="s">
        <v>266</v>
      </c>
      <c r="C120" s="31" t="s">
        <v>259</v>
      </c>
      <c r="D120" s="31" t="s">
        <v>269</v>
      </c>
      <c r="E120" s="38">
        <v>41739</v>
      </c>
      <c r="F120" s="35">
        <v>8</v>
      </c>
      <c r="G120" s="35">
        <v>3927</v>
      </c>
      <c r="H120" s="46"/>
      <c r="I120" s="47"/>
      <c r="J120"/>
      <c r="K120"/>
      <c r="L120"/>
      <c r="M120"/>
    </row>
    <row r="121" spans="1:13" x14ac:dyDescent="0.25">
      <c r="A121" s="31" t="s">
        <v>281</v>
      </c>
      <c r="B121" s="31" t="s">
        <v>271</v>
      </c>
      <c r="C121" s="31" t="s">
        <v>257</v>
      </c>
      <c r="D121" s="31" t="s">
        <v>267</v>
      </c>
      <c r="E121" s="38">
        <v>41739</v>
      </c>
      <c r="F121" s="35">
        <v>7</v>
      </c>
      <c r="G121" s="35">
        <v>2244</v>
      </c>
      <c r="H121" s="46"/>
      <c r="I121" s="47"/>
      <c r="J121"/>
      <c r="K121"/>
      <c r="L121"/>
      <c r="M121"/>
    </row>
    <row r="122" spans="1:13" x14ac:dyDescent="0.25">
      <c r="A122" s="31" t="s">
        <v>265</v>
      </c>
      <c r="B122" s="31" t="s">
        <v>278</v>
      </c>
      <c r="C122" s="31" t="s">
        <v>257</v>
      </c>
      <c r="D122" s="31" t="s">
        <v>269</v>
      </c>
      <c r="E122" s="38">
        <v>41741</v>
      </c>
      <c r="F122" s="35">
        <v>13</v>
      </c>
      <c r="G122" s="35">
        <v>4158</v>
      </c>
      <c r="H122" s="46"/>
      <c r="I122" s="47"/>
      <c r="J122"/>
      <c r="K122"/>
      <c r="L122"/>
      <c r="M122"/>
    </row>
    <row r="123" spans="1:13" x14ac:dyDescent="0.25">
      <c r="A123" s="31" t="s">
        <v>264</v>
      </c>
      <c r="B123" s="31" t="s">
        <v>278</v>
      </c>
      <c r="C123" s="31" t="s">
        <v>258</v>
      </c>
      <c r="D123" s="31" t="s">
        <v>263</v>
      </c>
      <c r="E123" s="38">
        <v>41741</v>
      </c>
      <c r="F123" s="35">
        <v>13</v>
      </c>
      <c r="G123" s="35">
        <v>6826</v>
      </c>
      <c r="H123" s="46"/>
      <c r="I123" s="47"/>
      <c r="J123"/>
      <c r="K123"/>
      <c r="L123"/>
      <c r="M123"/>
    </row>
    <row r="124" spans="1:13" x14ac:dyDescent="0.25">
      <c r="A124" s="31" t="s">
        <v>261</v>
      </c>
      <c r="B124" s="31" t="s">
        <v>278</v>
      </c>
      <c r="C124" s="31" t="s">
        <v>259</v>
      </c>
      <c r="D124" s="31" t="s">
        <v>275</v>
      </c>
      <c r="E124" s="38">
        <v>41742</v>
      </c>
      <c r="F124" s="35">
        <v>9</v>
      </c>
      <c r="G124" s="35">
        <v>3768</v>
      </c>
      <c r="H124" s="46"/>
      <c r="I124" s="47"/>
      <c r="J124"/>
      <c r="K124"/>
      <c r="L124"/>
      <c r="M124"/>
    </row>
    <row r="125" spans="1:13" x14ac:dyDescent="0.25">
      <c r="A125" s="31" t="s">
        <v>280</v>
      </c>
      <c r="B125" s="31" t="s">
        <v>271</v>
      </c>
      <c r="C125" s="31" t="s">
        <v>260</v>
      </c>
      <c r="D125" s="31" t="s">
        <v>282</v>
      </c>
      <c r="E125" s="38">
        <v>41743</v>
      </c>
      <c r="F125" s="35">
        <v>6</v>
      </c>
      <c r="G125" s="35">
        <v>3300</v>
      </c>
      <c r="H125" s="46"/>
      <c r="I125" s="47"/>
      <c r="J125"/>
      <c r="K125"/>
      <c r="L125"/>
      <c r="M125"/>
    </row>
    <row r="126" spans="1:13" x14ac:dyDescent="0.25">
      <c r="A126" s="31" t="s">
        <v>261</v>
      </c>
      <c r="B126" s="31" t="s">
        <v>266</v>
      </c>
      <c r="C126" s="31" t="s">
        <v>257</v>
      </c>
      <c r="D126" s="31" t="s">
        <v>282</v>
      </c>
      <c r="E126" s="38">
        <v>41745</v>
      </c>
      <c r="F126" s="35">
        <v>9</v>
      </c>
      <c r="G126" s="35">
        <v>2728</v>
      </c>
      <c r="H126" s="46"/>
      <c r="I126" s="47"/>
      <c r="J126"/>
      <c r="K126"/>
      <c r="L126"/>
      <c r="M126"/>
    </row>
    <row r="127" spans="1:13" x14ac:dyDescent="0.25">
      <c r="A127" s="31" t="s">
        <v>280</v>
      </c>
      <c r="B127" s="31" t="s">
        <v>271</v>
      </c>
      <c r="C127" s="31" t="s">
        <v>257</v>
      </c>
      <c r="D127" s="31" t="s">
        <v>275</v>
      </c>
      <c r="E127" s="38">
        <v>41746</v>
      </c>
      <c r="F127" s="35">
        <v>2</v>
      </c>
      <c r="G127" s="35">
        <v>649</v>
      </c>
      <c r="H127" s="46"/>
      <c r="I127" s="47"/>
      <c r="J127"/>
      <c r="K127"/>
      <c r="L127"/>
      <c r="M127"/>
    </row>
    <row r="128" spans="1:13" x14ac:dyDescent="0.25">
      <c r="A128" s="31" t="s">
        <v>279</v>
      </c>
      <c r="B128" s="31" t="s">
        <v>271</v>
      </c>
      <c r="C128" s="31" t="s">
        <v>258</v>
      </c>
      <c r="D128" s="31" t="s">
        <v>267</v>
      </c>
      <c r="E128" s="38">
        <v>41746</v>
      </c>
      <c r="F128" s="35">
        <v>3</v>
      </c>
      <c r="G128" s="35">
        <v>1238</v>
      </c>
      <c r="H128" s="46"/>
      <c r="I128" s="47"/>
      <c r="J128"/>
      <c r="K128"/>
      <c r="L128"/>
      <c r="M128"/>
    </row>
    <row r="129" spans="1:13" x14ac:dyDescent="0.25">
      <c r="A129" s="31" t="s">
        <v>270</v>
      </c>
      <c r="B129" s="31" t="s">
        <v>278</v>
      </c>
      <c r="C129" s="31" t="s">
        <v>260</v>
      </c>
      <c r="D129" s="31" t="s">
        <v>269</v>
      </c>
      <c r="E129" s="38">
        <v>41746</v>
      </c>
      <c r="F129" s="35">
        <v>12</v>
      </c>
      <c r="G129" s="35">
        <v>4770</v>
      </c>
      <c r="H129" s="46"/>
      <c r="I129" s="47"/>
      <c r="J129"/>
      <c r="K129"/>
      <c r="L129"/>
      <c r="M129"/>
    </row>
    <row r="130" spans="1:13" x14ac:dyDescent="0.25">
      <c r="A130" s="31" t="s">
        <v>261</v>
      </c>
      <c r="B130" s="31" t="s">
        <v>273</v>
      </c>
      <c r="C130" s="31" t="s">
        <v>260</v>
      </c>
      <c r="D130" s="31" t="s">
        <v>263</v>
      </c>
      <c r="E130" s="38">
        <v>41747</v>
      </c>
      <c r="F130" s="35">
        <v>13</v>
      </c>
      <c r="G130" s="35">
        <v>7799</v>
      </c>
      <c r="H130" s="46"/>
      <c r="I130" s="47"/>
      <c r="J130"/>
      <c r="K130"/>
      <c r="L130"/>
      <c r="M130"/>
    </row>
    <row r="131" spans="1:13" x14ac:dyDescent="0.25">
      <c r="A131" s="31" t="s">
        <v>264</v>
      </c>
      <c r="B131" s="31" t="s">
        <v>278</v>
      </c>
      <c r="C131" s="31" t="s">
        <v>260</v>
      </c>
      <c r="D131" s="31" t="s">
        <v>269</v>
      </c>
      <c r="E131" s="38">
        <v>41748</v>
      </c>
      <c r="F131" s="35">
        <v>11</v>
      </c>
      <c r="G131" s="35">
        <v>6578</v>
      </c>
      <c r="H131" s="46"/>
      <c r="I131" s="47"/>
      <c r="J131"/>
      <c r="K131"/>
      <c r="L131"/>
      <c r="M131"/>
    </row>
    <row r="132" spans="1:13" x14ac:dyDescent="0.25">
      <c r="A132" s="31" t="s">
        <v>274</v>
      </c>
      <c r="B132" s="31" t="s">
        <v>271</v>
      </c>
      <c r="C132" s="31" t="s">
        <v>258</v>
      </c>
      <c r="D132" s="31" t="s">
        <v>275</v>
      </c>
      <c r="E132" s="38">
        <v>41748</v>
      </c>
      <c r="F132" s="35">
        <v>5</v>
      </c>
      <c r="G132" s="35">
        <v>2497</v>
      </c>
      <c r="H132" s="46"/>
      <c r="I132" s="47"/>
      <c r="J132"/>
      <c r="K132"/>
      <c r="L132"/>
      <c r="M132"/>
    </row>
    <row r="133" spans="1:13" x14ac:dyDescent="0.25">
      <c r="A133" s="31" t="s">
        <v>264</v>
      </c>
      <c r="B133" s="31" t="s">
        <v>278</v>
      </c>
      <c r="C133" s="31" t="s">
        <v>260</v>
      </c>
      <c r="D133" s="31" t="s">
        <v>282</v>
      </c>
      <c r="E133" s="38">
        <v>41748</v>
      </c>
      <c r="F133" s="35">
        <v>8</v>
      </c>
      <c r="G133" s="35">
        <v>4180</v>
      </c>
      <c r="H133" s="46"/>
      <c r="I133" s="47"/>
      <c r="J133"/>
      <c r="K133"/>
      <c r="L133"/>
      <c r="M133"/>
    </row>
    <row r="134" spans="1:13" x14ac:dyDescent="0.25">
      <c r="A134" s="31" t="s">
        <v>265</v>
      </c>
      <c r="B134" s="31" t="s">
        <v>271</v>
      </c>
      <c r="C134" s="31" t="s">
        <v>257</v>
      </c>
      <c r="D134" s="31" t="s">
        <v>263</v>
      </c>
      <c r="E134" s="38">
        <v>41748</v>
      </c>
      <c r="F134" s="35">
        <v>8</v>
      </c>
      <c r="G134" s="35">
        <v>3080</v>
      </c>
      <c r="H134" s="46"/>
      <c r="I134" s="47"/>
      <c r="J134"/>
      <c r="K134"/>
      <c r="L134"/>
      <c r="M134"/>
    </row>
    <row r="135" spans="1:13" x14ac:dyDescent="0.25">
      <c r="A135" s="31" t="s">
        <v>279</v>
      </c>
      <c r="B135" s="31" t="s">
        <v>262</v>
      </c>
      <c r="C135" s="31" t="s">
        <v>258</v>
      </c>
      <c r="D135" s="31" t="s">
        <v>267</v>
      </c>
      <c r="E135" s="38">
        <v>41748</v>
      </c>
      <c r="F135" s="35">
        <v>9</v>
      </c>
      <c r="G135" s="35">
        <v>3707</v>
      </c>
      <c r="H135" s="46"/>
      <c r="I135" s="47"/>
      <c r="J135"/>
      <c r="K135"/>
      <c r="L135"/>
      <c r="M135"/>
    </row>
    <row r="136" spans="1:13" x14ac:dyDescent="0.25">
      <c r="A136" s="31" t="s">
        <v>276</v>
      </c>
      <c r="B136" s="31" t="s">
        <v>266</v>
      </c>
      <c r="C136" s="31" t="s">
        <v>258</v>
      </c>
      <c r="D136" s="31" t="s">
        <v>269</v>
      </c>
      <c r="E136" s="38">
        <v>41749</v>
      </c>
      <c r="F136" s="35">
        <v>17</v>
      </c>
      <c r="G136" s="35">
        <v>9081</v>
      </c>
      <c r="H136" s="46"/>
      <c r="I136" s="47"/>
      <c r="J136"/>
      <c r="K136"/>
      <c r="L136"/>
      <c r="M136"/>
    </row>
    <row r="137" spans="1:13" x14ac:dyDescent="0.25">
      <c r="A137" s="31" t="s">
        <v>270</v>
      </c>
      <c r="B137" s="31" t="s">
        <v>266</v>
      </c>
      <c r="C137" s="31" t="s">
        <v>259</v>
      </c>
      <c r="D137" s="31" t="s">
        <v>263</v>
      </c>
      <c r="E137" s="38">
        <v>41752</v>
      </c>
      <c r="F137" s="35">
        <v>9</v>
      </c>
      <c r="G137" s="35">
        <v>3828</v>
      </c>
      <c r="H137" s="46"/>
      <c r="I137" s="47"/>
      <c r="J137"/>
      <c r="K137"/>
      <c r="L137"/>
      <c r="M137"/>
    </row>
    <row r="138" spans="1:13" x14ac:dyDescent="0.25">
      <c r="A138" s="31" t="s">
        <v>265</v>
      </c>
      <c r="B138" s="31" t="s">
        <v>266</v>
      </c>
      <c r="C138" s="31" t="s">
        <v>257</v>
      </c>
      <c r="D138" s="31" t="s">
        <v>275</v>
      </c>
      <c r="E138" s="38">
        <v>41753</v>
      </c>
      <c r="F138" s="35">
        <v>3</v>
      </c>
      <c r="G138" s="35">
        <v>1298</v>
      </c>
      <c r="H138" s="46"/>
      <c r="I138" s="47"/>
      <c r="J138"/>
      <c r="K138"/>
      <c r="L138"/>
      <c r="M138"/>
    </row>
    <row r="139" spans="1:13" x14ac:dyDescent="0.25">
      <c r="A139" s="31" t="s">
        <v>279</v>
      </c>
      <c r="B139" s="31" t="s">
        <v>271</v>
      </c>
      <c r="C139" s="31" t="s">
        <v>259</v>
      </c>
      <c r="D139" s="31" t="s">
        <v>275</v>
      </c>
      <c r="E139" s="38">
        <v>41753</v>
      </c>
      <c r="F139" s="35">
        <v>12</v>
      </c>
      <c r="G139" s="35">
        <v>6848</v>
      </c>
      <c r="H139" s="46"/>
      <c r="I139" s="47"/>
      <c r="J139"/>
      <c r="K139"/>
      <c r="L139"/>
      <c r="M139"/>
    </row>
    <row r="140" spans="1:13" x14ac:dyDescent="0.25">
      <c r="A140" s="31" t="s">
        <v>261</v>
      </c>
      <c r="B140" s="31" t="s">
        <v>273</v>
      </c>
      <c r="C140" s="31" t="s">
        <v>257</v>
      </c>
      <c r="D140" s="31" t="s">
        <v>263</v>
      </c>
      <c r="E140" s="38">
        <v>41754</v>
      </c>
      <c r="F140" s="35">
        <v>13</v>
      </c>
      <c r="G140" s="35">
        <v>7299</v>
      </c>
      <c r="H140" s="46"/>
      <c r="I140" s="47"/>
      <c r="J140"/>
      <c r="K140"/>
      <c r="L140"/>
      <c r="M140"/>
    </row>
    <row r="141" spans="1:13" x14ac:dyDescent="0.25">
      <c r="A141" s="31" t="s">
        <v>270</v>
      </c>
      <c r="B141" s="31" t="s">
        <v>262</v>
      </c>
      <c r="C141" s="31" t="s">
        <v>259</v>
      </c>
      <c r="D141" s="31" t="s">
        <v>267</v>
      </c>
      <c r="E141" s="38">
        <v>41754</v>
      </c>
      <c r="F141" s="35">
        <v>9</v>
      </c>
      <c r="G141" s="35">
        <v>4912</v>
      </c>
      <c r="H141" s="46"/>
      <c r="I141" s="47"/>
      <c r="J141"/>
      <c r="K141"/>
      <c r="L141"/>
      <c r="M141"/>
    </row>
    <row r="142" spans="1:13" x14ac:dyDescent="0.25">
      <c r="A142" s="31" t="s">
        <v>270</v>
      </c>
      <c r="B142" s="31" t="s">
        <v>278</v>
      </c>
      <c r="C142" s="31" t="s">
        <v>259</v>
      </c>
      <c r="D142" s="31" t="s">
        <v>275</v>
      </c>
      <c r="E142" s="38">
        <v>41755</v>
      </c>
      <c r="F142" s="35">
        <v>2</v>
      </c>
      <c r="G142" s="35">
        <v>589</v>
      </c>
      <c r="H142" s="46"/>
      <c r="I142" s="47"/>
      <c r="J142"/>
      <c r="K142"/>
      <c r="L142"/>
      <c r="M142"/>
    </row>
    <row r="143" spans="1:13" x14ac:dyDescent="0.25">
      <c r="A143" s="31" t="s">
        <v>270</v>
      </c>
      <c r="B143" s="31" t="s">
        <v>271</v>
      </c>
      <c r="C143" s="31" t="s">
        <v>260</v>
      </c>
      <c r="D143" s="31" t="s">
        <v>267</v>
      </c>
      <c r="E143" s="38">
        <v>41760</v>
      </c>
      <c r="F143" s="35">
        <v>3</v>
      </c>
      <c r="G143" s="35">
        <v>1144</v>
      </c>
      <c r="H143" s="46"/>
      <c r="I143" s="47"/>
      <c r="J143"/>
      <c r="K143"/>
      <c r="L143"/>
      <c r="M143"/>
    </row>
    <row r="144" spans="1:13" x14ac:dyDescent="0.25">
      <c r="A144" s="31" t="s">
        <v>274</v>
      </c>
      <c r="B144" s="31" t="s">
        <v>266</v>
      </c>
      <c r="C144" s="31" t="s">
        <v>257</v>
      </c>
      <c r="D144" s="31" t="s">
        <v>263</v>
      </c>
      <c r="E144" s="38">
        <v>41761</v>
      </c>
      <c r="F144" s="35">
        <v>7</v>
      </c>
      <c r="G144" s="35">
        <v>3135</v>
      </c>
      <c r="H144" s="46"/>
      <c r="I144" s="47"/>
      <c r="J144"/>
      <c r="K144"/>
      <c r="L144"/>
      <c r="M144"/>
    </row>
    <row r="145" spans="1:13" x14ac:dyDescent="0.25">
      <c r="A145" s="31" t="s">
        <v>265</v>
      </c>
      <c r="B145" s="31" t="s">
        <v>278</v>
      </c>
      <c r="C145" s="31" t="s">
        <v>258</v>
      </c>
      <c r="D145" s="31" t="s">
        <v>267</v>
      </c>
      <c r="E145" s="38">
        <v>41763</v>
      </c>
      <c r="F145" s="35">
        <v>6</v>
      </c>
      <c r="G145" s="35">
        <v>1766</v>
      </c>
      <c r="H145" s="46"/>
      <c r="I145" s="47"/>
      <c r="J145"/>
      <c r="K145"/>
      <c r="L145"/>
      <c r="M145"/>
    </row>
    <row r="146" spans="1:13" x14ac:dyDescent="0.25">
      <c r="A146" s="31" t="s">
        <v>270</v>
      </c>
      <c r="B146" s="31" t="s">
        <v>271</v>
      </c>
      <c r="C146" s="31" t="s">
        <v>258</v>
      </c>
      <c r="D146" s="31" t="s">
        <v>275</v>
      </c>
      <c r="E146" s="38">
        <v>41764</v>
      </c>
      <c r="F146" s="35">
        <v>16</v>
      </c>
      <c r="G146" s="35">
        <v>8382</v>
      </c>
      <c r="H146" s="46"/>
      <c r="I146" s="47"/>
      <c r="J146"/>
      <c r="K146"/>
      <c r="L146"/>
      <c r="M146"/>
    </row>
    <row r="147" spans="1:13" x14ac:dyDescent="0.25">
      <c r="A147" s="31" t="s">
        <v>277</v>
      </c>
      <c r="B147" s="31" t="s">
        <v>266</v>
      </c>
      <c r="C147" s="31" t="s">
        <v>258</v>
      </c>
      <c r="D147" s="31" t="s">
        <v>275</v>
      </c>
      <c r="E147" s="38">
        <v>41764</v>
      </c>
      <c r="F147" s="35">
        <v>7</v>
      </c>
      <c r="G147" s="35">
        <v>3603</v>
      </c>
      <c r="H147" s="46"/>
      <c r="I147" s="47"/>
      <c r="J147"/>
      <c r="K147"/>
      <c r="L147"/>
      <c r="M147"/>
    </row>
    <row r="148" spans="1:13" x14ac:dyDescent="0.25">
      <c r="A148" s="31" t="s">
        <v>274</v>
      </c>
      <c r="B148" s="31" t="s">
        <v>266</v>
      </c>
      <c r="C148" s="31" t="s">
        <v>259</v>
      </c>
      <c r="D148" s="31" t="s">
        <v>267</v>
      </c>
      <c r="E148" s="38">
        <v>41766</v>
      </c>
      <c r="F148" s="35">
        <v>10</v>
      </c>
      <c r="G148" s="35">
        <v>3190</v>
      </c>
      <c r="H148" s="46"/>
      <c r="I148" s="47"/>
      <c r="J148"/>
      <c r="K148"/>
      <c r="L148"/>
      <c r="M148"/>
    </row>
    <row r="149" spans="1:13" x14ac:dyDescent="0.25">
      <c r="A149" s="31" t="s">
        <v>276</v>
      </c>
      <c r="B149" s="31" t="s">
        <v>266</v>
      </c>
      <c r="C149" s="31" t="s">
        <v>259</v>
      </c>
      <c r="D149" s="31" t="s">
        <v>282</v>
      </c>
      <c r="E149" s="38">
        <v>41767</v>
      </c>
      <c r="F149" s="35">
        <v>11</v>
      </c>
      <c r="G149" s="35">
        <v>6457</v>
      </c>
      <c r="H149" s="46"/>
      <c r="I149" s="47"/>
      <c r="J149"/>
      <c r="K149"/>
      <c r="L149"/>
      <c r="M149"/>
    </row>
    <row r="150" spans="1:13" x14ac:dyDescent="0.25">
      <c r="A150" s="31" t="s">
        <v>265</v>
      </c>
      <c r="B150" s="31" t="s">
        <v>262</v>
      </c>
      <c r="C150" s="31" t="s">
        <v>260</v>
      </c>
      <c r="D150" s="31" t="s">
        <v>263</v>
      </c>
      <c r="E150" s="38">
        <v>41767</v>
      </c>
      <c r="F150" s="35">
        <v>12</v>
      </c>
      <c r="G150" s="35">
        <v>6765</v>
      </c>
      <c r="H150" s="46"/>
      <c r="I150" s="47"/>
      <c r="J150"/>
      <c r="K150"/>
      <c r="L150"/>
      <c r="M150"/>
    </row>
    <row r="151" spans="1:13" x14ac:dyDescent="0.25">
      <c r="A151" s="31" t="s">
        <v>270</v>
      </c>
      <c r="B151" s="31" t="s">
        <v>278</v>
      </c>
      <c r="C151" s="31" t="s">
        <v>259</v>
      </c>
      <c r="D151" s="31" t="s">
        <v>282</v>
      </c>
      <c r="E151" s="38">
        <v>41768</v>
      </c>
      <c r="F151" s="35">
        <v>4</v>
      </c>
      <c r="G151" s="35">
        <v>1859</v>
      </c>
      <c r="H151" s="46"/>
      <c r="I151" s="47"/>
      <c r="J151"/>
      <c r="K151"/>
      <c r="L151"/>
      <c r="M151"/>
    </row>
    <row r="152" spans="1:13" x14ac:dyDescent="0.25">
      <c r="A152" s="31" t="s">
        <v>261</v>
      </c>
      <c r="B152" s="31" t="s">
        <v>273</v>
      </c>
      <c r="C152" s="31" t="s">
        <v>258</v>
      </c>
      <c r="D152" s="31" t="s">
        <v>275</v>
      </c>
      <c r="E152" s="38">
        <v>41769</v>
      </c>
      <c r="F152" s="35">
        <v>16</v>
      </c>
      <c r="G152" s="35">
        <v>7442</v>
      </c>
      <c r="H152" s="46"/>
      <c r="I152" s="47"/>
      <c r="J152"/>
      <c r="K152"/>
      <c r="L152"/>
      <c r="M152"/>
    </row>
    <row r="153" spans="1:13" x14ac:dyDescent="0.25">
      <c r="A153" s="31" t="s">
        <v>276</v>
      </c>
      <c r="B153" s="31" t="s">
        <v>273</v>
      </c>
      <c r="C153" s="31" t="s">
        <v>260</v>
      </c>
      <c r="D153" s="31" t="s">
        <v>263</v>
      </c>
      <c r="E153" s="38">
        <v>41769</v>
      </c>
      <c r="F153" s="35">
        <v>15</v>
      </c>
      <c r="G153" s="35">
        <v>7733</v>
      </c>
      <c r="H153" s="46"/>
      <c r="I153" s="47"/>
      <c r="J153"/>
      <c r="K153"/>
      <c r="L153"/>
      <c r="M153"/>
    </row>
    <row r="154" spans="1:13" x14ac:dyDescent="0.25">
      <c r="A154" s="31" t="s">
        <v>265</v>
      </c>
      <c r="B154" s="31" t="s">
        <v>262</v>
      </c>
      <c r="C154" s="31" t="s">
        <v>257</v>
      </c>
      <c r="D154" s="31" t="s">
        <v>269</v>
      </c>
      <c r="E154" s="38">
        <v>41770</v>
      </c>
      <c r="F154" s="35">
        <v>7</v>
      </c>
      <c r="G154" s="35">
        <v>2739</v>
      </c>
      <c r="H154" s="46"/>
      <c r="I154" s="47"/>
      <c r="J154"/>
      <c r="K154"/>
      <c r="L154"/>
      <c r="M154"/>
    </row>
    <row r="155" spans="1:13" x14ac:dyDescent="0.25">
      <c r="A155" s="31" t="s">
        <v>281</v>
      </c>
      <c r="B155" s="31" t="s">
        <v>278</v>
      </c>
      <c r="C155" s="31" t="s">
        <v>258</v>
      </c>
      <c r="D155" s="31" t="s">
        <v>269</v>
      </c>
      <c r="E155" s="38">
        <v>41771</v>
      </c>
      <c r="F155" s="35">
        <v>8</v>
      </c>
      <c r="G155" s="35">
        <v>3465</v>
      </c>
      <c r="H155" s="46"/>
      <c r="I155" s="47"/>
      <c r="J155"/>
      <c r="K155"/>
      <c r="L155"/>
      <c r="M155"/>
    </row>
    <row r="156" spans="1:13" x14ac:dyDescent="0.25">
      <c r="A156" s="31" t="s">
        <v>274</v>
      </c>
      <c r="B156" s="31" t="s">
        <v>262</v>
      </c>
      <c r="C156" s="31" t="s">
        <v>258</v>
      </c>
      <c r="D156" s="31" t="s">
        <v>275</v>
      </c>
      <c r="E156" s="38">
        <v>41771</v>
      </c>
      <c r="F156" s="35">
        <v>13</v>
      </c>
      <c r="G156" s="35">
        <v>4290</v>
      </c>
      <c r="H156" s="46"/>
      <c r="I156" s="47"/>
      <c r="J156"/>
      <c r="K156"/>
      <c r="L156"/>
      <c r="M156"/>
    </row>
    <row r="157" spans="1:13" x14ac:dyDescent="0.25">
      <c r="A157" s="31" t="s">
        <v>280</v>
      </c>
      <c r="B157" s="31" t="s">
        <v>262</v>
      </c>
      <c r="C157" s="31" t="s">
        <v>258</v>
      </c>
      <c r="D157" s="31" t="s">
        <v>282</v>
      </c>
      <c r="E157" s="38">
        <v>41771</v>
      </c>
      <c r="F157" s="35">
        <v>6</v>
      </c>
      <c r="G157" s="35">
        <v>1931</v>
      </c>
      <c r="H157" s="46"/>
      <c r="I157" s="47"/>
      <c r="J157"/>
      <c r="K157"/>
      <c r="L157"/>
      <c r="M157"/>
    </row>
    <row r="158" spans="1:13" x14ac:dyDescent="0.25">
      <c r="A158" s="31" t="s">
        <v>279</v>
      </c>
      <c r="B158" s="31" t="s">
        <v>273</v>
      </c>
      <c r="C158" s="31" t="s">
        <v>259</v>
      </c>
      <c r="D158" s="31" t="s">
        <v>282</v>
      </c>
      <c r="E158" s="38">
        <v>41773</v>
      </c>
      <c r="F158" s="35">
        <v>12</v>
      </c>
      <c r="G158" s="35">
        <v>3801</v>
      </c>
      <c r="H158" s="46"/>
      <c r="I158" s="47"/>
      <c r="J158"/>
      <c r="K158"/>
      <c r="L158"/>
      <c r="M158"/>
    </row>
    <row r="159" spans="1:13" x14ac:dyDescent="0.25">
      <c r="A159" s="31" t="s">
        <v>272</v>
      </c>
      <c r="B159" s="31" t="s">
        <v>271</v>
      </c>
      <c r="C159" s="31" t="s">
        <v>259</v>
      </c>
      <c r="D159" s="31" t="s">
        <v>269</v>
      </c>
      <c r="E159" s="38">
        <v>41773</v>
      </c>
      <c r="F159" s="35">
        <v>16</v>
      </c>
      <c r="G159" s="35">
        <v>9042</v>
      </c>
      <c r="H159" s="46"/>
      <c r="I159" s="47"/>
      <c r="J159"/>
      <c r="K159"/>
      <c r="L159"/>
      <c r="M159"/>
    </row>
    <row r="160" spans="1:13" x14ac:dyDescent="0.25">
      <c r="A160" s="31" t="s">
        <v>274</v>
      </c>
      <c r="B160" s="31" t="s">
        <v>271</v>
      </c>
      <c r="C160" s="31" t="s">
        <v>257</v>
      </c>
      <c r="D160" s="31" t="s">
        <v>263</v>
      </c>
      <c r="E160" s="38">
        <v>41773</v>
      </c>
      <c r="F160" s="35">
        <v>16</v>
      </c>
      <c r="G160" s="35">
        <v>5693</v>
      </c>
      <c r="H160" s="46"/>
      <c r="I160" s="47"/>
      <c r="J160"/>
      <c r="K160"/>
      <c r="L160"/>
      <c r="M160"/>
    </row>
    <row r="161" spans="1:13" x14ac:dyDescent="0.25">
      <c r="A161" s="31" t="s">
        <v>277</v>
      </c>
      <c r="B161" s="31" t="s">
        <v>262</v>
      </c>
      <c r="C161" s="31" t="s">
        <v>258</v>
      </c>
      <c r="D161" s="31" t="s">
        <v>269</v>
      </c>
      <c r="E161" s="38">
        <v>41774</v>
      </c>
      <c r="F161" s="35">
        <v>19</v>
      </c>
      <c r="G161" s="35">
        <v>6177</v>
      </c>
      <c r="H161" s="46"/>
      <c r="I161" s="47"/>
      <c r="J161"/>
      <c r="K161"/>
      <c r="L161"/>
      <c r="M161"/>
    </row>
    <row r="162" spans="1:13" x14ac:dyDescent="0.25">
      <c r="A162" s="31" t="s">
        <v>279</v>
      </c>
      <c r="B162" s="31" t="s">
        <v>271</v>
      </c>
      <c r="C162" s="31" t="s">
        <v>257</v>
      </c>
      <c r="D162" s="31" t="s">
        <v>267</v>
      </c>
      <c r="E162" s="38">
        <v>41776</v>
      </c>
      <c r="F162" s="35">
        <v>4</v>
      </c>
      <c r="G162" s="35">
        <v>1744</v>
      </c>
      <c r="H162" s="46"/>
      <c r="I162" s="47"/>
      <c r="J162"/>
      <c r="K162"/>
      <c r="L162"/>
      <c r="M162"/>
    </row>
    <row r="163" spans="1:13" x14ac:dyDescent="0.25">
      <c r="A163" s="31" t="s">
        <v>280</v>
      </c>
      <c r="B163" s="31" t="s">
        <v>273</v>
      </c>
      <c r="C163" s="31" t="s">
        <v>259</v>
      </c>
      <c r="D163" s="31" t="s">
        <v>267</v>
      </c>
      <c r="E163" s="38">
        <v>41777</v>
      </c>
      <c r="F163" s="35">
        <v>5</v>
      </c>
      <c r="G163" s="35">
        <v>1463</v>
      </c>
      <c r="H163" s="46"/>
      <c r="I163" s="47"/>
      <c r="J163"/>
      <c r="K163"/>
      <c r="L163"/>
      <c r="M163"/>
    </row>
    <row r="164" spans="1:13" x14ac:dyDescent="0.25">
      <c r="A164" s="31" t="s">
        <v>274</v>
      </c>
      <c r="B164" s="31" t="s">
        <v>273</v>
      </c>
      <c r="C164" s="31" t="s">
        <v>258</v>
      </c>
      <c r="D164" s="31" t="s">
        <v>269</v>
      </c>
      <c r="E164" s="38">
        <v>41778</v>
      </c>
      <c r="F164" s="35">
        <v>10</v>
      </c>
      <c r="G164" s="35">
        <v>3540</v>
      </c>
      <c r="H164" s="46"/>
      <c r="I164" s="47"/>
      <c r="J164"/>
      <c r="K164"/>
      <c r="L164"/>
      <c r="M164"/>
    </row>
    <row r="165" spans="1:13" x14ac:dyDescent="0.25">
      <c r="A165" s="31" t="s">
        <v>261</v>
      </c>
      <c r="B165" s="31" t="s">
        <v>271</v>
      </c>
      <c r="C165" s="31" t="s">
        <v>259</v>
      </c>
      <c r="D165" s="31" t="s">
        <v>275</v>
      </c>
      <c r="E165" s="38">
        <v>41780</v>
      </c>
      <c r="F165" s="35">
        <v>4</v>
      </c>
      <c r="G165" s="35">
        <v>1804</v>
      </c>
      <c r="H165" s="46"/>
      <c r="I165" s="47"/>
      <c r="J165"/>
      <c r="K165"/>
      <c r="L165"/>
      <c r="M165"/>
    </row>
    <row r="166" spans="1:13" x14ac:dyDescent="0.25">
      <c r="A166" s="31" t="s">
        <v>276</v>
      </c>
      <c r="B166" s="31" t="s">
        <v>266</v>
      </c>
      <c r="C166" s="31" t="s">
        <v>258</v>
      </c>
      <c r="D166" s="31" t="s">
        <v>275</v>
      </c>
      <c r="E166" s="38">
        <v>41780</v>
      </c>
      <c r="F166" s="35">
        <v>11</v>
      </c>
      <c r="G166" s="35">
        <v>4884</v>
      </c>
      <c r="H166" s="46"/>
      <c r="I166" s="47"/>
      <c r="J166"/>
      <c r="K166"/>
      <c r="L166"/>
      <c r="M166"/>
    </row>
    <row r="167" spans="1:13" x14ac:dyDescent="0.25">
      <c r="A167" s="31" t="s">
        <v>276</v>
      </c>
      <c r="B167" s="31" t="s">
        <v>262</v>
      </c>
      <c r="C167" s="31" t="s">
        <v>260</v>
      </c>
      <c r="D167" s="31" t="s">
        <v>269</v>
      </c>
      <c r="E167" s="38">
        <v>41781</v>
      </c>
      <c r="F167" s="35">
        <v>15</v>
      </c>
      <c r="G167" s="35">
        <v>8359</v>
      </c>
      <c r="H167" s="46"/>
      <c r="I167" s="47"/>
      <c r="J167"/>
      <c r="K167"/>
      <c r="L167"/>
      <c r="M167"/>
    </row>
    <row r="168" spans="1:13" x14ac:dyDescent="0.25">
      <c r="A168" s="31" t="s">
        <v>280</v>
      </c>
      <c r="B168" s="31" t="s">
        <v>278</v>
      </c>
      <c r="C168" s="31" t="s">
        <v>260</v>
      </c>
      <c r="D168" s="31" t="s">
        <v>267</v>
      </c>
      <c r="E168" s="38">
        <v>41781</v>
      </c>
      <c r="F168" s="35">
        <v>2</v>
      </c>
      <c r="G168" s="35">
        <v>506</v>
      </c>
      <c r="H168" s="46"/>
      <c r="I168" s="47"/>
      <c r="J168"/>
      <c r="K168"/>
      <c r="L168"/>
      <c r="M168"/>
    </row>
    <row r="169" spans="1:13" x14ac:dyDescent="0.25">
      <c r="A169" s="31" t="s">
        <v>265</v>
      </c>
      <c r="B169" s="31" t="s">
        <v>262</v>
      </c>
      <c r="C169" s="31" t="s">
        <v>257</v>
      </c>
      <c r="D169" s="31" t="s">
        <v>263</v>
      </c>
      <c r="E169" s="38">
        <v>41781</v>
      </c>
      <c r="F169" s="35">
        <v>2</v>
      </c>
      <c r="G169" s="35">
        <v>561</v>
      </c>
      <c r="H169" s="46"/>
      <c r="I169" s="47"/>
      <c r="J169"/>
      <c r="K169"/>
      <c r="L169"/>
      <c r="M169"/>
    </row>
    <row r="170" spans="1:13" x14ac:dyDescent="0.25">
      <c r="A170" s="31" t="s">
        <v>265</v>
      </c>
      <c r="B170" s="31" t="s">
        <v>273</v>
      </c>
      <c r="C170" s="31" t="s">
        <v>258</v>
      </c>
      <c r="D170" s="31" t="s">
        <v>269</v>
      </c>
      <c r="E170" s="38">
        <v>41781</v>
      </c>
      <c r="F170" s="35">
        <v>7</v>
      </c>
      <c r="G170" s="35">
        <v>3267</v>
      </c>
      <c r="H170" s="46"/>
      <c r="I170" s="47"/>
      <c r="J170"/>
      <c r="K170"/>
      <c r="L170"/>
      <c r="M170"/>
    </row>
    <row r="171" spans="1:13" x14ac:dyDescent="0.25">
      <c r="A171" s="31" t="s">
        <v>265</v>
      </c>
      <c r="B171" s="31" t="s">
        <v>273</v>
      </c>
      <c r="C171" s="31" t="s">
        <v>258</v>
      </c>
      <c r="D171" s="31" t="s">
        <v>282</v>
      </c>
      <c r="E171" s="38">
        <v>41781</v>
      </c>
      <c r="F171" s="35">
        <v>10</v>
      </c>
      <c r="G171" s="35">
        <v>4444</v>
      </c>
      <c r="H171" s="46"/>
      <c r="I171" s="47"/>
      <c r="J171"/>
      <c r="K171"/>
      <c r="L171"/>
      <c r="M171"/>
    </row>
    <row r="172" spans="1:13" x14ac:dyDescent="0.25">
      <c r="A172" s="31" t="s">
        <v>265</v>
      </c>
      <c r="B172" s="31" t="s">
        <v>266</v>
      </c>
      <c r="C172" s="31" t="s">
        <v>260</v>
      </c>
      <c r="D172" s="31" t="s">
        <v>267</v>
      </c>
      <c r="E172" s="38">
        <v>41784</v>
      </c>
      <c r="F172" s="35">
        <v>6</v>
      </c>
      <c r="G172" s="35">
        <v>2910</v>
      </c>
      <c r="H172" s="46"/>
      <c r="I172" s="47"/>
      <c r="J172"/>
      <c r="K172"/>
      <c r="L172"/>
      <c r="M172"/>
    </row>
    <row r="173" spans="1:13" x14ac:dyDescent="0.25">
      <c r="A173" s="31" t="s">
        <v>261</v>
      </c>
      <c r="B173" s="31" t="s">
        <v>273</v>
      </c>
      <c r="C173" s="31" t="s">
        <v>259</v>
      </c>
      <c r="D173" s="31" t="s">
        <v>269</v>
      </c>
      <c r="E173" s="38">
        <v>41787</v>
      </c>
      <c r="F173" s="35">
        <v>15</v>
      </c>
      <c r="G173" s="35">
        <v>7238</v>
      </c>
      <c r="H173" s="46"/>
      <c r="I173" s="47"/>
      <c r="J173"/>
      <c r="K173"/>
      <c r="L173"/>
      <c r="M173"/>
    </row>
    <row r="174" spans="1:13" x14ac:dyDescent="0.25">
      <c r="A174" s="31" t="s">
        <v>265</v>
      </c>
      <c r="B174" s="31" t="s">
        <v>262</v>
      </c>
      <c r="C174" s="31" t="s">
        <v>259</v>
      </c>
      <c r="D174" s="31" t="s">
        <v>282</v>
      </c>
      <c r="E174" s="38">
        <v>41788</v>
      </c>
      <c r="F174" s="35">
        <v>3</v>
      </c>
      <c r="G174" s="35">
        <v>858</v>
      </c>
      <c r="H174" s="46"/>
      <c r="I174" s="47"/>
      <c r="J174"/>
      <c r="K174"/>
      <c r="L174"/>
      <c r="M174"/>
    </row>
    <row r="175" spans="1:13" x14ac:dyDescent="0.25">
      <c r="A175" s="31" t="s">
        <v>274</v>
      </c>
      <c r="B175" s="31" t="s">
        <v>278</v>
      </c>
      <c r="C175" s="31" t="s">
        <v>257</v>
      </c>
      <c r="D175" s="31" t="s">
        <v>282</v>
      </c>
      <c r="E175" s="38">
        <v>41788</v>
      </c>
      <c r="F175" s="35">
        <v>13</v>
      </c>
      <c r="G175" s="35">
        <v>4631</v>
      </c>
      <c r="H175" s="46"/>
      <c r="I175" s="47"/>
      <c r="J175"/>
      <c r="K175"/>
      <c r="L175"/>
      <c r="M175"/>
    </row>
    <row r="176" spans="1:13" x14ac:dyDescent="0.25">
      <c r="A176" s="31" t="s">
        <v>264</v>
      </c>
      <c r="B176" s="31" t="s">
        <v>262</v>
      </c>
      <c r="C176" s="31" t="s">
        <v>258</v>
      </c>
      <c r="D176" s="31" t="s">
        <v>267</v>
      </c>
      <c r="E176" s="38">
        <v>41790</v>
      </c>
      <c r="F176" s="35">
        <v>10</v>
      </c>
      <c r="G176" s="35">
        <v>5913</v>
      </c>
      <c r="H176" s="46"/>
      <c r="I176" s="47"/>
      <c r="J176"/>
      <c r="K176"/>
      <c r="L176"/>
      <c r="M176"/>
    </row>
    <row r="177" spans="1:13" x14ac:dyDescent="0.25">
      <c r="A177" s="31" t="s">
        <v>281</v>
      </c>
      <c r="B177" s="31" t="s">
        <v>278</v>
      </c>
      <c r="C177" s="31" t="s">
        <v>258</v>
      </c>
      <c r="D177" s="31" t="s">
        <v>275</v>
      </c>
      <c r="E177" s="38">
        <v>41792</v>
      </c>
      <c r="F177" s="35">
        <v>7</v>
      </c>
      <c r="G177" s="35">
        <v>3273</v>
      </c>
      <c r="H177" s="46"/>
      <c r="I177" s="47"/>
      <c r="J177"/>
      <c r="K177"/>
      <c r="L177"/>
      <c r="M177"/>
    </row>
    <row r="178" spans="1:13" x14ac:dyDescent="0.25">
      <c r="A178" s="31" t="s">
        <v>279</v>
      </c>
      <c r="B178" s="31" t="s">
        <v>273</v>
      </c>
      <c r="C178" s="31" t="s">
        <v>260</v>
      </c>
      <c r="D178" s="31" t="s">
        <v>269</v>
      </c>
      <c r="E178" s="38">
        <v>41794</v>
      </c>
      <c r="F178" s="35">
        <v>19</v>
      </c>
      <c r="G178" s="35">
        <v>6595</v>
      </c>
      <c r="H178" s="46"/>
      <c r="I178" s="47"/>
      <c r="J178"/>
      <c r="K178"/>
      <c r="L178"/>
      <c r="M178"/>
    </row>
    <row r="179" spans="1:13" x14ac:dyDescent="0.25">
      <c r="A179" s="31" t="s">
        <v>264</v>
      </c>
      <c r="B179" s="31" t="s">
        <v>262</v>
      </c>
      <c r="C179" s="31" t="s">
        <v>257</v>
      </c>
      <c r="D179" s="31" t="s">
        <v>269</v>
      </c>
      <c r="E179" s="38">
        <v>41795</v>
      </c>
      <c r="F179" s="35">
        <v>14</v>
      </c>
      <c r="G179" s="35">
        <v>4621</v>
      </c>
      <c r="H179" s="46"/>
      <c r="I179" s="47"/>
      <c r="J179"/>
      <c r="K179"/>
      <c r="L179"/>
      <c r="M179"/>
    </row>
    <row r="180" spans="1:13" x14ac:dyDescent="0.25">
      <c r="A180" s="31" t="s">
        <v>265</v>
      </c>
      <c r="B180" s="31" t="s">
        <v>278</v>
      </c>
      <c r="C180" s="31" t="s">
        <v>258</v>
      </c>
      <c r="D180" s="31" t="s">
        <v>275</v>
      </c>
      <c r="E180" s="38">
        <v>41796</v>
      </c>
      <c r="F180" s="35">
        <v>15</v>
      </c>
      <c r="G180" s="35">
        <v>6177</v>
      </c>
      <c r="H180" s="46"/>
      <c r="I180" s="47"/>
      <c r="J180"/>
      <c r="K180"/>
      <c r="L180"/>
      <c r="M180"/>
    </row>
    <row r="181" spans="1:13" x14ac:dyDescent="0.25">
      <c r="A181" s="31" t="s">
        <v>270</v>
      </c>
      <c r="B181" s="31" t="s">
        <v>266</v>
      </c>
      <c r="C181" s="31" t="s">
        <v>259</v>
      </c>
      <c r="D181" s="31" t="s">
        <v>275</v>
      </c>
      <c r="E181" s="38">
        <v>41796</v>
      </c>
      <c r="F181" s="35">
        <v>4</v>
      </c>
      <c r="G181" s="35">
        <v>1051</v>
      </c>
      <c r="H181" s="46"/>
      <c r="I181" s="47"/>
      <c r="J181"/>
      <c r="K181"/>
      <c r="L181"/>
      <c r="M181"/>
    </row>
    <row r="182" spans="1:13" x14ac:dyDescent="0.25">
      <c r="A182" s="31" t="s">
        <v>261</v>
      </c>
      <c r="B182" s="31" t="s">
        <v>278</v>
      </c>
      <c r="C182" s="31" t="s">
        <v>259</v>
      </c>
      <c r="D182" s="31" t="s">
        <v>263</v>
      </c>
      <c r="E182" s="38">
        <v>41797</v>
      </c>
      <c r="F182" s="35">
        <v>10</v>
      </c>
      <c r="G182" s="35">
        <v>3537</v>
      </c>
      <c r="H182" s="46"/>
      <c r="I182" s="47"/>
      <c r="J182"/>
      <c r="K182"/>
      <c r="L182"/>
      <c r="M182"/>
    </row>
    <row r="183" spans="1:13" x14ac:dyDescent="0.25">
      <c r="A183" s="31" t="s">
        <v>270</v>
      </c>
      <c r="B183" s="31" t="s">
        <v>271</v>
      </c>
      <c r="C183" s="31" t="s">
        <v>260</v>
      </c>
      <c r="D183" s="31" t="s">
        <v>269</v>
      </c>
      <c r="E183" s="38">
        <v>41797</v>
      </c>
      <c r="F183" s="35">
        <v>19</v>
      </c>
      <c r="G183" s="35">
        <v>6359</v>
      </c>
      <c r="H183" s="46"/>
      <c r="I183" s="47"/>
      <c r="J183"/>
      <c r="K183"/>
      <c r="L183"/>
      <c r="M183"/>
    </row>
    <row r="184" spans="1:13" x14ac:dyDescent="0.25">
      <c r="A184" s="31" t="s">
        <v>276</v>
      </c>
      <c r="B184" s="31" t="s">
        <v>266</v>
      </c>
      <c r="C184" s="31" t="s">
        <v>260</v>
      </c>
      <c r="D184" s="31" t="s">
        <v>275</v>
      </c>
      <c r="E184" s="38">
        <v>41798</v>
      </c>
      <c r="F184" s="35">
        <v>11</v>
      </c>
      <c r="G184" s="35">
        <v>4103</v>
      </c>
      <c r="H184" s="46"/>
      <c r="I184" s="47"/>
      <c r="J184"/>
      <c r="K184"/>
      <c r="L184"/>
      <c r="M184"/>
    </row>
    <row r="185" spans="1:13" x14ac:dyDescent="0.25">
      <c r="A185" s="31" t="s">
        <v>274</v>
      </c>
      <c r="B185" s="31" t="s">
        <v>262</v>
      </c>
      <c r="C185" s="31" t="s">
        <v>259</v>
      </c>
      <c r="D185" s="31" t="s">
        <v>267</v>
      </c>
      <c r="E185" s="38">
        <v>41799</v>
      </c>
      <c r="F185" s="35">
        <v>7</v>
      </c>
      <c r="G185" s="35">
        <v>2574</v>
      </c>
      <c r="H185" s="46"/>
      <c r="I185" s="47"/>
      <c r="J185"/>
      <c r="K185"/>
      <c r="L185"/>
      <c r="M185"/>
    </row>
    <row r="186" spans="1:13" x14ac:dyDescent="0.25">
      <c r="A186" s="31" t="s">
        <v>276</v>
      </c>
      <c r="B186" s="31" t="s">
        <v>273</v>
      </c>
      <c r="C186" s="31" t="s">
        <v>258</v>
      </c>
      <c r="D186" s="31" t="s">
        <v>267</v>
      </c>
      <c r="E186" s="38">
        <v>41802</v>
      </c>
      <c r="F186" s="35">
        <v>7</v>
      </c>
      <c r="G186" s="35">
        <v>2283</v>
      </c>
      <c r="H186" s="46"/>
      <c r="I186" s="47"/>
      <c r="J186"/>
      <c r="K186"/>
      <c r="L186"/>
      <c r="M186"/>
    </row>
    <row r="187" spans="1:13" x14ac:dyDescent="0.25">
      <c r="A187" s="31" t="s">
        <v>274</v>
      </c>
      <c r="B187" s="31" t="s">
        <v>273</v>
      </c>
      <c r="C187" s="31" t="s">
        <v>260</v>
      </c>
      <c r="D187" s="31" t="s">
        <v>267</v>
      </c>
      <c r="E187" s="38">
        <v>41802</v>
      </c>
      <c r="F187" s="35">
        <v>10</v>
      </c>
      <c r="G187" s="35">
        <v>3427</v>
      </c>
      <c r="H187" s="46"/>
      <c r="I187" s="47"/>
      <c r="J187"/>
      <c r="K187"/>
      <c r="L187"/>
      <c r="M187"/>
    </row>
    <row r="188" spans="1:13" x14ac:dyDescent="0.25">
      <c r="A188" s="31" t="s">
        <v>272</v>
      </c>
      <c r="B188" s="31" t="s">
        <v>266</v>
      </c>
      <c r="C188" s="31" t="s">
        <v>260</v>
      </c>
      <c r="D188" s="31" t="s">
        <v>263</v>
      </c>
      <c r="E188" s="38">
        <v>41802</v>
      </c>
      <c r="F188" s="35">
        <v>4</v>
      </c>
      <c r="G188" s="35">
        <v>1909</v>
      </c>
      <c r="H188" s="46"/>
      <c r="I188" s="47"/>
      <c r="J188"/>
      <c r="K188"/>
      <c r="L188"/>
      <c r="M188"/>
    </row>
    <row r="189" spans="1:13" x14ac:dyDescent="0.25">
      <c r="A189" s="31" t="s">
        <v>272</v>
      </c>
      <c r="B189" s="31" t="s">
        <v>262</v>
      </c>
      <c r="C189" s="31" t="s">
        <v>260</v>
      </c>
      <c r="D189" s="31" t="s">
        <v>267</v>
      </c>
      <c r="E189" s="38">
        <v>41802</v>
      </c>
      <c r="F189" s="35">
        <v>11</v>
      </c>
      <c r="G189" s="35">
        <v>6083</v>
      </c>
      <c r="H189" s="46"/>
      <c r="I189" s="47"/>
      <c r="J189"/>
      <c r="K189"/>
      <c r="L189"/>
      <c r="M189"/>
    </row>
    <row r="190" spans="1:13" x14ac:dyDescent="0.25">
      <c r="A190" s="31" t="s">
        <v>261</v>
      </c>
      <c r="B190" s="31" t="s">
        <v>271</v>
      </c>
      <c r="C190" s="31" t="s">
        <v>257</v>
      </c>
      <c r="D190" s="31" t="s">
        <v>282</v>
      </c>
      <c r="E190" s="38">
        <v>41803</v>
      </c>
      <c r="F190" s="35">
        <v>15</v>
      </c>
      <c r="G190" s="35">
        <v>5946</v>
      </c>
      <c r="H190" s="46"/>
      <c r="I190" s="47"/>
      <c r="J190"/>
      <c r="K190"/>
      <c r="L190"/>
      <c r="M190"/>
    </row>
    <row r="191" spans="1:13" x14ac:dyDescent="0.25">
      <c r="A191" s="31" t="s">
        <v>270</v>
      </c>
      <c r="B191" s="31" t="s">
        <v>266</v>
      </c>
      <c r="C191" s="31" t="s">
        <v>259</v>
      </c>
      <c r="D191" s="31" t="s">
        <v>269</v>
      </c>
      <c r="E191" s="38">
        <v>41803</v>
      </c>
      <c r="F191" s="35">
        <v>20</v>
      </c>
      <c r="G191" s="35">
        <v>11787</v>
      </c>
      <c r="H191" s="46"/>
      <c r="I191" s="47"/>
      <c r="J191"/>
      <c r="K191"/>
      <c r="L191"/>
      <c r="M191"/>
    </row>
    <row r="192" spans="1:13" x14ac:dyDescent="0.25">
      <c r="A192" s="31" t="s">
        <v>268</v>
      </c>
      <c r="B192" s="31" t="s">
        <v>266</v>
      </c>
      <c r="C192" s="31" t="s">
        <v>258</v>
      </c>
      <c r="D192" s="31" t="s">
        <v>263</v>
      </c>
      <c r="E192" s="38">
        <v>41805</v>
      </c>
      <c r="F192" s="35">
        <v>7</v>
      </c>
      <c r="G192" s="35">
        <v>3834</v>
      </c>
      <c r="H192" s="46"/>
      <c r="I192" s="47"/>
      <c r="J192"/>
      <c r="K192"/>
      <c r="L192"/>
      <c r="M192"/>
    </row>
    <row r="193" spans="1:13" x14ac:dyDescent="0.25">
      <c r="A193" s="31" t="s">
        <v>276</v>
      </c>
      <c r="B193" s="31" t="s">
        <v>266</v>
      </c>
      <c r="C193" s="31" t="s">
        <v>259</v>
      </c>
      <c r="D193" s="31" t="s">
        <v>282</v>
      </c>
      <c r="E193" s="38">
        <v>41805</v>
      </c>
      <c r="F193" s="35">
        <v>12</v>
      </c>
      <c r="G193" s="35">
        <v>6677</v>
      </c>
      <c r="H193" s="46"/>
      <c r="I193" s="47"/>
      <c r="J193"/>
      <c r="K193"/>
      <c r="L193"/>
      <c r="M193"/>
    </row>
    <row r="194" spans="1:13" x14ac:dyDescent="0.25">
      <c r="A194" s="31" t="s">
        <v>265</v>
      </c>
      <c r="B194" s="31" t="s">
        <v>278</v>
      </c>
      <c r="C194" s="31" t="s">
        <v>258</v>
      </c>
      <c r="D194" s="31" t="s">
        <v>282</v>
      </c>
      <c r="E194" s="38">
        <v>41806</v>
      </c>
      <c r="F194" s="35">
        <v>4</v>
      </c>
      <c r="G194" s="35">
        <v>1810</v>
      </c>
      <c r="H194" s="46"/>
      <c r="I194" s="47"/>
      <c r="J194"/>
      <c r="K194"/>
      <c r="L194"/>
      <c r="M194"/>
    </row>
    <row r="195" spans="1:13" x14ac:dyDescent="0.25">
      <c r="A195" s="31" t="s">
        <v>274</v>
      </c>
      <c r="B195" s="31" t="s">
        <v>273</v>
      </c>
      <c r="C195" s="31" t="s">
        <v>257</v>
      </c>
      <c r="D195" s="31" t="s">
        <v>267</v>
      </c>
      <c r="E195" s="38">
        <v>41809</v>
      </c>
      <c r="F195" s="35">
        <v>6</v>
      </c>
      <c r="G195" s="35">
        <v>3020</v>
      </c>
      <c r="H195" s="46"/>
      <c r="I195" s="47"/>
      <c r="J195"/>
      <c r="K195"/>
      <c r="L195"/>
      <c r="M195"/>
    </row>
    <row r="196" spans="1:13" x14ac:dyDescent="0.25">
      <c r="A196" s="31" t="s">
        <v>261</v>
      </c>
      <c r="B196" s="31" t="s">
        <v>266</v>
      </c>
      <c r="C196" s="31" t="s">
        <v>260</v>
      </c>
      <c r="D196" s="31" t="s">
        <v>263</v>
      </c>
      <c r="E196" s="38">
        <v>41809</v>
      </c>
      <c r="F196" s="35">
        <v>10</v>
      </c>
      <c r="G196" s="35">
        <v>3911</v>
      </c>
      <c r="H196" s="46"/>
      <c r="I196" s="47"/>
      <c r="J196"/>
      <c r="K196"/>
      <c r="L196"/>
      <c r="M196"/>
    </row>
    <row r="197" spans="1:13" x14ac:dyDescent="0.25">
      <c r="A197" s="31" t="s">
        <v>280</v>
      </c>
      <c r="B197" s="31" t="s">
        <v>278</v>
      </c>
      <c r="C197" s="31" t="s">
        <v>259</v>
      </c>
      <c r="D197" s="31" t="s">
        <v>275</v>
      </c>
      <c r="E197" s="38">
        <v>41809</v>
      </c>
      <c r="F197" s="35">
        <v>11</v>
      </c>
      <c r="G197" s="35">
        <v>3696</v>
      </c>
      <c r="H197" s="46"/>
      <c r="I197" s="47"/>
      <c r="J197"/>
      <c r="K197"/>
      <c r="L197"/>
      <c r="M197"/>
    </row>
    <row r="198" spans="1:13" x14ac:dyDescent="0.25">
      <c r="A198" s="31" t="s">
        <v>280</v>
      </c>
      <c r="B198" s="31" t="s">
        <v>262</v>
      </c>
      <c r="C198" s="31" t="s">
        <v>257</v>
      </c>
      <c r="D198" s="31" t="s">
        <v>263</v>
      </c>
      <c r="E198" s="38">
        <v>41809</v>
      </c>
      <c r="F198" s="35">
        <v>9</v>
      </c>
      <c r="G198" s="35">
        <v>5121</v>
      </c>
      <c r="H198" s="46"/>
      <c r="I198" s="47"/>
      <c r="J198"/>
      <c r="K198"/>
      <c r="L198"/>
      <c r="M198"/>
    </row>
    <row r="199" spans="1:13" x14ac:dyDescent="0.25">
      <c r="A199" s="31" t="s">
        <v>261</v>
      </c>
      <c r="B199" s="31" t="s">
        <v>266</v>
      </c>
      <c r="C199" s="31" t="s">
        <v>259</v>
      </c>
      <c r="D199" s="31" t="s">
        <v>269</v>
      </c>
      <c r="E199" s="38">
        <v>41809</v>
      </c>
      <c r="F199" s="35">
        <v>20</v>
      </c>
      <c r="G199" s="35">
        <v>11204</v>
      </c>
      <c r="H199" s="46"/>
      <c r="I199" s="47"/>
      <c r="J199"/>
      <c r="K199"/>
      <c r="L199"/>
      <c r="M199"/>
    </row>
    <row r="200" spans="1:13" x14ac:dyDescent="0.25">
      <c r="A200" s="31" t="s">
        <v>265</v>
      </c>
      <c r="B200" s="31" t="s">
        <v>271</v>
      </c>
      <c r="C200" s="31" t="s">
        <v>258</v>
      </c>
      <c r="D200" s="31" t="s">
        <v>275</v>
      </c>
      <c r="E200" s="38">
        <v>41810</v>
      </c>
      <c r="F200" s="35">
        <v>7</v>
      </c>
      <c r="G200" s="35">
        <v>3295</v>
      </c>
      <c r="H200" s="46"/>
      <c r="I200" s="47"/>
      <c r="J200"/>
      <c r="K200"/>
      <c r="L200"/>
      <c r="M200"/>
    </row>
    <row r="201" spans="1:13" x14ac:dyDescent="0.25">
      <c r="A201" s="31" t="s">
        <v>274</v>
      </c>
      <c r="B201" s="31" t="s">
        <v>278</v>
      </c>
      <c r="C201" s="31" t="s">
        <v>259</v>
      </c>
      <c r="D201" s="31" t="s">
        <v>282</v>
      </c>
      <c r="E201" s="38">
        <v>41810</v>
      </c>
      <c r="F201" s="35">
        <v>12</v>
      </c>
      <c r="G201" s="35">
        <v>7101</v>
      </c>
      <c r="H201" s="46"/>
      <c r="I201" s="47"/>
      <c r="J201"/>
      <c r="K201"/>
      <c r="L201"/>
      <c r="M201"/>
    </row>
    <row r="202" spans="1:13" x14ac:dyDescent="0.25">
      <c r="A202" s="31" t="s">
        <v>264</v>
      </c>
      <c r="B202" s="31" t="s">
        <v>271</v>
      </c>
      <c r="C202" s="31" t="s">
        <v>257</v>
      </c>
      <c r="D202" s="31" t="s">
        <v>263</v>
      </c>
      <c r="E202" s="38">
        <v>41811</v>
      </c>
      <c r="F202" s="35">
        <v>16</v>
      </c>
      <c r="G202" s="35">
        <v>9092</v>
      </c>
      <c r="H202" s="46"/>
      <c r="I202" s="47"/>
      <c r="J202"/>
      <c r="K202"/>
      <c r="L202"/>
      <c r="M202"/>
    </row>
    <row r="203" spans="1:13" x14ac:dyDescent="0.25">
      <c r="A203" s="31" t="s">
        <v>279</v>
      </c>
      <c r="B203" s="31" t="s">
        <v>273</v>
      </c>
      <c r="C203" s="31" t="s">
        <v>258</v>
      </c>
      <c r="D203" s="31" t="s">
        <v>267</v>
      </c>
      <c r="E203" s="38">
        <v>41811</v>
      </c>
      <c r="F203" s="35">
        <v>8</v>
      </c>
      <c r="G203" s="35">
        <v>3003</v>
      </c>
      <c r="H203" s="46"/>
      <c r="I203" s="47"/>
      <c r="J203"/>
      <c r="K203"/>
      <c r="L203"/>
      <c r="M203"/>
    </row>
    <row r="204" spans="1:13" x14ac:dyDescent="0.25">
      <c r="A204" s="31" t="s">
        <v>279</v>
      </c>
      <c r="B204" s="31" t="s">
        <v>271</v>
      </c>
      <c r="C204" s="31" t="s">
        <v>259</v>
      </c>
      <c r="D204" s="31" t="s">
        <v>282</v>
      </c>
      <c r="E204" s="38">
        <v>41811</v>
      </c>
      <c r="F204" s="35">
        <v>3</v>
      </c>
      <c r="G204" s="35">
        <v>902</v>
      </c>
      <c r="H204" s="46"/>
      <c r="I204" s="47"/>
      <c r="J204"/>
      <c r="K204"/>
      <c r="L204"/>
      <c r="M204"/>
    </row>
    <row r="205" spans="1:13" x14ac:dyDescent="0.25">
      <c r="A205" s="31" t="s">
        <v>265</v>
      </c>
      <c r="B205" s="31" t="s">
        <v>266</v>
      </c>
      <c r="C205" s="31" t="s">
        <v>259</v>
      </c>
      <c r="D205" s="31" t="s">
        <v>263</v>
      </c>
      <c r="E205" s="38">
        <v>41812</v>
      </c>
      <c r="F205" s="35">
        <v>16</v>
      </c>
      <c r="G205" s="35">
        <v>7970</v>
      </c>
      <c r="H205" s="46"/>
      <c r="I205" s="47"/>
      <c r="J205"/>
      <c r="K205"/>
      <c r="L205"/>
      <c r="M205"/>
    </row>
    <row r="206" spans="1:13" x14ac:dyDescent="0.25">
      <c r="A206" s="31" t="s">
        <v>268</v>
      </c>
      <c r="B206" s="31" t="s">
        <v>266</v>
      </c>
      <c r="C206" s="31" t="s">
        <v>258</v>
      </c>
      <c r="D206" s="31" t="s">
        <v>263</v>
      </c>
      <c r="E206" s="38">
        <v>41812</v>
      </c>
      <c r="F206" s="35">
        <v>15</v>
      </c>
      <c r="G206" s="35">
        <v>7810</v>
      </c>
      <c r="H206" s="46"/>
      <c r="I206" s="47"/>
      <c r="J206"/>
      <c r="K206"/>
      <c r="L206"/>
      <c r="M206"/>
    </row>
    <row r="207" spans="1:13" x14ac:dyDescent="0.25">
      <c r="A207" s="31" t="s">
        <v>279</v>
      </c>
      <c r="B207" s="31" t="s">
        <v>278</v>
      </c>
      <c r="C207" s="31" t="s">
        <v>257</v>
      </c>
      <c r="D207" s="31" t="s">
        <v>269</v>
      </c>
      <c r="E207" s="38">
        <v>41812</v>
      </c>
      <c r="F207" s="35">
        <v>13</v>
      </c>
      <c r="G207" s="35">
        <v>7468</v>
      </c>
      <c r="H207" s="46"/>
      <c r="I207" s="47"/>
      <c r="J207"/>
      <c r="K207"/>
      <c r="L207"/>
      <c r="M207"/>
    </row>
    <row r="208" spans="1:13" x14ac:dyDescent="0.25">
      <c r="A208" s="31" t="s">
        <v>270</v>
      </c>
      <c r="B208" s="31" t="s">
        <v>262</v>
      </c>
      <c r="C208" s="31" t="s">
        <v>257</v>
      </c>
      <c r="D208" s="31" t="s">
        <v>263</v>
      </c>
      <c r="E208" s="38">
        <v>41812</v>
      </c>
      <c r="F208" s="35">
        <v>5</v>
      </c>
      <c r="G208" s="35">
        <v>2563</v>
      </c>
      <c r="H208" s="46"/>
      <c r="I208" s="47"/>
      <c r="J208"/>
      <c r="K208"/>
      <c r="L208"/>
      <c r="M208"/>
    </row>
    <row r="209" spans="1:13" x14ac:dyDescent="0.25">
      <c r="A209" s="31" t="s">
        <v>270</v>
      </c>
      <c r="B209" s="31" t="s">
        <v>262</v>
      </c>
      <c r="C209" s="31" t="s">
        <v>257</v>
      </c>
      <c r="D209" s="31" t="s">
        <v>275</v>
      </c>
      <c r="E209" s="38">
        <v>41818</v>
      </c>
      <c r="F209" s="35">
        <v>15</v>
      </c>
      <c r="G209" s="35">
        <v>7563</v>
      </c>
      <c r="H209" s="46"/>
      <c r="I209" s="47"/>
      <c r="J209"/>
      <c r="K209"/>
      <c r="L209"/>
      <c r="M209"/>
    </row>
    <row r="210" spans="1:13" x14ac:dyDescent="0.25">
      <c r="A210" s="31" t="s">
        <v>279</v>
      </c>
      <c r="B210" s="31" t="s">
        <v>266</v>
      </c>
      <c r="C210" s="31" t="s">
        <v>260</v>
      </c>
      <c r="D210" s="31" t="s">
        <v>267</v>
      </c>
      <c r="E210" s="38">
        <v>41818</v>
      </c>
      <c r="F210" s="35">
        <v>12</v>
      </c>
      <c r="G210" s="35">
        <v>5264</v>
      </c>
      <c r="H210" s="46"/>
      <c r="I210" s="47"/>
      <c r="J210"/>
      <c r="K210"/>
      <c r="L210"/>
      <c r="M210"/>
    </row>
    <row r="211" spans="1:13" x14ac:dyDescent="0.25">
      <c r="A211" s="31" t="s">
        <v>276</v>
      </c>
      <c r="B211" s="31" t="s">
        <v>266</v>
      </c>
      <c r="C211" s="31" t="s">
        <v>259</v>
      </c>
      <c r="D211" s="31" t="s">
        <v>275</v>
      </c>
      <c r="E211" s="38">
        <v>41819</v>
      </c>
      <c r="F211" s="35">
        <v>3</v>
      </c>
      <c r="G211" s="35">
        <v>1007</v>
      </c>
      <c r="H211" s="46"/>
      <c r="I211" s="47"/>
      <c r="J211"/>
      <c r="K211"/>
      <c r="L211"/>
      <c r="M211"/>
    </row>
    <row r="212" spans="1:13" x14ac:dyDescent="0.25">
      <c r="A212" s="31" t="s">
        <v>279</v>
      </c>
      <c r="B212" s="31" t="s">
        <v>273</v>
      </c>
      <c r="C212" s="31" t="s">
        <v>258</v>
      </c>
      <c r="D212" s="31" t="s">
        <v>275</v>
      </c>
      <c r="E212" s="38">
        <v>41819</v>
      </c>
      <c r="F212" s="35">
        <v>8</v>
      </c>
      <c r="G212" s="35">
        <v>2624</v>
      </c>
      <c r="H212" s="46"/>
      <c r="I212" s="47"/>
      <c r="J212"/>
      <c r="K212"/>
      <c r="L212"/>
      <c r="M212"/>
    </row>
    <row r="213" spans="1:13" x14ac:dyDescent="0.25">
      <c r="A213" s="31" t="s">
        <v>274</v>
      </c>
      <c r="B213" s="31" t="s">
        <v>278</v>
      </c>
      <c r="C213" s="31" t="s">
        <v>260</v>
      </c>
      <c r="D213" s="31" t="s">
        <v>267</v>
      </c>
      <c r="E213" s="38">
        <v>41819</v>
      </c>
      <c r="F213" s="35">
        <v>7</v>
      </c>
      <c r="G213" s="35">
        <v>3790</v>
      </c>
      <c r="H213" s="46"/>
      <c r="I213" s="47"/>
      <c r="J213"/>
      <c r="K213"/>
      <c r="L213"/>
      <c r="M213"/>
    </row>
    <row r="214" spans="1:13" x14ac:dyDescent="0.25">
      <c r="A214" s="31" t="s">
        <v>265</v>
      </c>
      <c r="B214" s="31" t="s">
        <v>262</v>
      </c>
      <c r="C214" s="31" t="s">
        <v>260</v>
      </c>
      <c r="D214" s="31" t="s">
        <v>282</v>
      </c>
      <c r="E214" s="38">
        <v>41819</v>
      </c>
      <c r="F214" s="35">
        <v>14</v>
      </c>
      <c r="G214" s="35">
        <v>4989</v>
      </c>
      <c r="H214" s="46"/>
      <c r="I214" s="47"/>
      <c r="J214"/>
      <c r="K214"/>
      <c r="L214"/>
      <c r="M214"/>
    </row>
    <row r="215" spans="1:13" x14ac:dyDescent="0.25">
      <c r="A215" s="31" t="s">
        <v>274</v>
      </c>
      <c r="B215" s="31" t="s">
        <v>266</v>
      </c>
      <c r="C215" s="31" t="s">
        <v>259</v>
      </c>
      <c r="D215" s="31" t="s">
        <v>269</v>
      </c>
      <c r="E215" s="38">
        <v>41823</v>
      </c>
      <c r="F215" s="35">
        <v>16</v>
      </c>
      <c r="G215" s="35">
        <v>8811</v>
      </c>
      <c r="H215" s="46"/>
      <c r="I215" s="47"/>
      <c r="J215"/>
      <c r="K215"/>
      <c r="L215"/>
      <c r="M215"/>
    </row>
    <row r="216" spans="1:13" x14ac:dyDescent="0.25">
      <c r="A216" s="31" t="s">
        <v>265</v>
      </c>
      <c r="B216" s="31" t="s">
        <v>278</v>
      </c>
      <c r="C216" s="31" t="s">
        <v>258</v>
      </c>
      <c r="D216" s="31" t="s">
        <v>282</v>
      </c>
      <c r="E216" s="38">
        <v>41823</v>
      </c>
      <c r="F216" s="35">
        <v>13</v>
      </c>
      <c r="G216" s="35">
        <v>7007</v>
      </c>
      <c r="H216" s="46"/>
      <c r="I216" s="47"/>
      <c r="J216"/>
      <c r="K216"/>
      <c r="L216"/>
      <c r="M216"/>
    </row>
    <row r="217" spans="1:13" x14ac:dyDescent="0.25">
      <c r="A217" s="31" t="s">
        <v>268</v>
      </c>
      <c r="B217" s="31" t="s">
        <v>273</v>
      </c>
      <c r="C217" s="31" t="s">
        <v>258</v>
      </c>
      <c r="D217" s="31" t="s">
        <v>263</v>
      </c>
      <c r="E217" s="38">
        <v>41825</v>
      </c>
      <c r="F217" s="35">
        <v>15</v>
      </c>
      <c r="G217" s="35">
        <v>5451</v>
      </c>
      <c r="H217" s="46"/>
      <c r="I217" s="47"/>
      <c r="J217"/>
      <c r="K217"/>
      <c r="L217"/>
      <c r="M217"/>
    </row>
    <row r="218" spans="1:13" x14ac:dyDescent="0.25">
      <c r="A218" s="31" t="s">
        <v>272</v>
      </c>
      <c r="B218" s="31" t="s">
        <v>262</v>
      </c>
      <c r="C218" s="31" t="s">
        <v>258</v>
      </c>
      <c r="D218" s="31" t="s">
        <v>269</v>
      </c>
      <c r="E218" s="38">
        <v>41826</v>
      </c>
      <c r="F218" s="35">
        <v>10</v>
      </c>
      <c r="G218" s="35">
        <v>4764</v>
      </c>
      <c r="H218" s="46"/>
      <c r="I218" s="47"/>
      <c r="J218"/>
      <c r="K218"/>
      <c r="L218"/>
      <c r="M218"/>
    </row>
    <row r="219" spans="1:13" x14ac:dyDescent="0.25">
      <c r="A219" s="31" t="s">
        <v>261</v>
      </c>
      <c r="B219" s="31" t="s">
        <v>266</v>
      </c>
      <c r="C219" s="31" t="s">
        <v>257</v>
      </c>
      <c r="D219" s="31" t="s">
        <v>269</v>
      </c>
      <c r="E219" s="38">
        <v>41827</v>
      </c>
      <c r="F219" s="35">
        <v>15</v>
      </c>
      <c r="G219" s="35">
        <v>7666</v>
      </c>
      <c r="H219" s="46"/>
      <c r="I219" s="47"/>
      <c r="J219"/>
      <c r="K219"/>
      <c r="L219"/>
      <c r="M219"/>
    </row>
    <row r="220" spans="1:13" x14ac:dyDescent="0.25">
      <c r="A220" s="31" t="s">
        <v>276</v>
      </c>
      <c r="B220" s="31" t="s">
        <v>266</v>
      </c>
      <c r="C220" s="31" t="s">
        <v>260</v>
      </c>
      <c r="D220" s="31" t="s">
        <v>275</v>
      </c>
      <c r="E220" s="38">
        <v>41827</v>
      </c>
      <c r="F220" s="35">
        <v>4</v>
      </c>
      <c r="G220" s="35">
        <v>1953</v>
      </c>
      <c r="H220" s="46"/>
      <c r="I220" s="47"/>
      <c r="J220"/>
      <c r="K220"/>
      <c r="L220"/>
      <c r="M220"/>
    </row>
    <row r="221" spans="1:13" x14ac:dyDescent="0.25">
      <c r="A221" s="31" t="s">
        <v>274</v>
      </c>
      <c r="B221" s="31" t="s">
        <v>271</v>
      </c>
      <c r="C221" s="31" t="s">
        <v>257</v>
      </c>
      <c r="D221" s="31" t="s">
        <v>275</v>
      </c>
      <c r="E221" s="38">
        <v>41827</v>
      </c>
      <c r="F221" s="35">
        <v>15</v>
      </c>
      <c r="G221" s="35">
        <v>5005</v>
      </c>
      <c r="H221" s="46"/>
      <c r="I221" s="47"/>
      <c r="J221"/>
      <c r="K221"/>
      <c r="L221"/>
      <c r="M221"/>
    </row>
    <row r="222" spans="1:13" x14ac:dyDescent="0.25">
      <c r="A222" s="31" t="s">
        <v>280</v>
      </c>
      <c r="B222" s="31" t="s">
        <v>278</v>
      </c>
      <c r="C222" s="31" t="s">
        <v>257</v>
      </c>
      <c r="D222" s="31" t="s">
        <v>267</v>
      </c>
      <c r="E222" s="38">
        <v>41830</v>
      </c>
      <c r="F222" s="35">
        <v>3</v>
      </c>
      <c r="G222" s="35">
        <v>974</v>
      </c>
      <c r="H222" s="46"/>
      <c r="I222" s="47"/>
      <c r="J222"/>
      <c r="K222"/>
      <c r="L222"/>
      <c r="M222"/>
    </row>
    <row r="223" spans="1:13" x14ac:dyDescent="0.25">
      <c r="A223" s="31" t="s">
        <v>281</v>
      </c>
      <c r="B223" s="31" t="s">
        <v>262</v>
      </c>
      <c r="C223" s="31" t="s">
        <v>259</v>
      </c>
      <c r="D223" s="31" t="s">
        <v>267</v>
      </c>
      <c r="E223" s="38">
        <v>41830</v>
      </c>
      <c r="F223" s="35">
        <v>7</v>
      </c>
      <c r="G223" s="35">
        <v>3097</v>
      </c>
      <c r="H223" s="46"/>
      <c r="I223" s="47"/>
      <c r="J223"/>
      <c r="K223"/>
      <c r="L223"/>
      <c r="M223"/>
    </row>
    <row r="224" spans="1:13" x14ac:dyDescent="0.25">
      <c r="A224" s="31" t="s">
        <v>279</v>
      </c>
      <c r="B224" s="31" t="s">
        <v>271</v>
      </c>
      <c r="C224" s="31" t="s">
        <v>260</v>
      </c>
      <c r="D224" s="31" t="s">
        <v>282</v>
      </c>
      <c r="E224" s="38">
        <v>41830</v>
      </c>
      <c r="F224" s="35">
        <v>14</v>
      </c>
      <c r="G224" s="35">
        <v>8080</v>
      </c>
      <c r="H224" s="46"/>
      <c r="I224" s="47"/>
      <c r="J224"/>
      <c r="K224"/>
      <c r="L224"/>
      <c r="M224"/>
    </row>
    <row r="225" spans="1:13" x14ac:dyDescent="0.25">
      <c r="A225" s="31" t="s">
        <v>270</v>
      </c>
      <c r="B225" s="31" t="s">
        <v>262</v>
      </c>
      <c r="C225" s="31" t="s">
        <v>257</v>
      </c>
      <c r="D225" s="31" t="s">
        <v>263</v>
      </c>
      <c r="E225" s="38">
        <v>41831</v>
      </c>
      <c r="F225" s="35">
        <v>3</v>
      </c>
      <c r="G225" s="35">
        <v>1243</v>
      </c>
      <c r="H225" s="46"/>
      <c r="I225" s="47"/>
      <c r="J225"/>
      <c r="K225"/>
      <c r="L225"/>
      <c r="M225"/>
    </row>
    <row r="226" spans="1:13" x14ac:dyDescent="0.25">
      <c r="A226" s="31" t="s">
        <v>279</v>
      </c>
      <c r="B226" s="31" t="s">
        <v>278</v>
      </c>
      <c r="C226" s="31" t="s">
        <v>258</v>
      </c>
      <c r="D226" s="31" t="s">
        <v>269</v>
      </c>
      <c r="E226" s="38">
        <v>41832</v>
      </c>
      <c r="F226" s="35">
        <v>9</v>
      </c>
      <c r="G226" s="35">
        <v>2962</v>
      </c>
      <c r="H226" s="46"/>
      <c r="I226" s="47"/>
      <c r="J226"/>
      <c r="K226"/>
      <c r="L226"/>
      <c r="M226"/>
    </row>
    <row r="227" spans="1:13" x14ac:dyDescent="0.25">
      <c r="A227" s="31" t="s">
        <v>264</v>
      </c>
      <c r="B227" s="31" t="s">
        <v>262</v>
      </c>
      <c r="C227" s="31" t="s">
        <v>260</v>
      </c>
      <c r="D227" s="31" t="s">
        <v>275</v>
      </c>
      <c r="E227" s="38">
        <v>41833</v>
      </c>
      <c r="F227" s="35">
        <v>3</v>
      </c>
      <c r="G227" s="35">
        <v>765</v>
      </c>
      <c r="H227" s="46"/>
      <c r="I227" s="47"/>
      <c r="J227"/>
      <c r="K227"/>
      <c r="L227"/>
      <c r="M227"/>
    </row>
    <row r="228" spans="1:13" x14ac:dyDescent="0.25">
      <c r="A228" s="31" t="s">
        <v>277</v>
      </c>
      <c r="B228" s="31" t="s">
        <v>266</v>
      </c>
      <c r="C228" s="31" t="s">
        <v>258</v>
      </c>
      <c r="D228" s="31" t="s">
        <v>267</v>
      </c>
      <c r="E228" s="38">
        <v>41834</v>
      </c>
      <c r="F228" s="35">
        <v>15</v>
      </c>
      <c r="G228" s="35">
        <v>5280</v>
      </c>
      <c r="H228" s="46"/>
      <c r="I228" s="47"/>
      <c r="J228"/>
      <c r="K228"/>
      <c r="L228"/>
      <c r="M228"/>
    </row>
    <row r="229" spans="1:13" x14ac:dyDescent="0.25">
      <c r="A229" s="31" t="s">
        <v>264</v>
      </c>
      <c r="B229" s="31" t="s">
        <v>262</v>
      </c>
      <c r="C229" s="31" t="s">
        <v>258</v>
      </c>
      <c r="D229" s="31" t="s">
        <v>282</v>
      </c>
      <c r="E229" s="38">
        <v>41834</v>
      </c>
      <c r="F229" s="35">
        <v>14</v>
      </c>
      <c r="G229" s="35">
        <v>6435</v>
      </c>
      <c r="H229" s="46"/>
      <c r="I229" s="47"/>
      <c r="J229"/>
      <c r="K229"/>
      <c r="L229"/>
      <c r="M229"/>
    </row>
    <row r="230" spans="1:13" x14ac:dyDescent="0.25">
      <c r="A230" s="31" t="s">
        <v>274</v>
      </c>
      <c r="B230" s="31" t="s">
        <v>278</v>
      </c>
      <c r="C230" s="31" t="s">
        <v>259</v>
      </c>
      <c r="D230" s="31" t="s">
        <v>282</v>
      </c>
      <c r="E230" s="38">
        <v>41837</v>
      </c>
      <c r="F230" s="35">
        <v>14</v>
      </c>
      <c r="G230" s="35">
        <v>4763</v>
      </c>
      <c r="H230" s="46"/>
      <c r="I230" s="47"/>
      <c r="J230"/>
      <c r="K230"/>
      <c r="L230"/>
      <c r="M230"/>
    </row>
    <row r="231" spans="1:13" x14ac:dyDescent="0.25">
      <c r="A231" s="31" t="s">
        <v>268</v>
      </c>
      <c r="B231" s="31" t="s">
        <v>266</v>
      </c>
      <c r="C231" s="31" t="s">
        <v>257</v>
      </c>
      <c r="D231" s="31" t="s">
        <v>275</v>
      </c>
      <c r="E231" s="38">
        <v>41837</v>
      </c>
      <c r="F231" s="35">
        <v>16</v>
      </c>
      <c r="G231" s="35">
        <v>9158</v>
      </c>
      <c r="H231" s="46"/>
      <c r="I231" s="47"/>
      <c r="J231"/>
      <c r="K231"/>
      <c r="L231"/>
      <c r="M231"/>
    </row>
    <row r="232" spans="1:13" x14ac:dyDescent="0.25">
      <c r="A232" s="31" t="s">
        <v>276</v>
      </c>
      <c r="B232" s="31" t="s">
        <v>266</v>
      </c>
      <c r="C232" s="31" t="s">
        <v>257</v>
      </c>
      <c r="D232" s="31" t="s">
        <v>267</v>
      </c>
      <c r="E232" s="38">
        <v>41837</v>
      </c>
      <c r="F232" s="35">
        <v>3</v>
      </c>
      <c r="G232" s="35">
        <v>1271</v>
      </c>
      <c r="H232" s="46"/>
      <c r="I232" s="47"/>
      <c r="J232"/>
      <c r="K232"/>
      <c r="L232"/>
      <c r="M232"/>
    </row>
    <row r="233" spans="1:13" x14ac:dyDescent="0.25">
      <c r="A233" s="31" t="s">
        <v>281</v>
      </c>
      <c r="B233" s="31" t="s">
        <v>262</v>
      </c>
      <c r="C233" s="31" t="s">
        <v>257</v>
      </c>
      <c r="D233" s="31" t="s">
        <v>275</v>
      </c>
      <c r="E233" s="38">
        <v>41837</v>
      </c>
      <c r="F233" s="35">
        <v>14</v>
      </c>
      <c r="G233" s="35">
        <v>7579</v>
      </c>
      <c r="H233" s="46"/>
      <c r="I233" s="47"/>
      <c r="J233"/>
      <c r="K233"/>
      <c r="L233"/>
      <c r="M233"/>
    </row>
    <row r="234" spans="1:13" x14ac:dyDescent="0.25">
      <c r="A234" s="31" t="s">
        <v>280</v>
      </c>
      <c r="B234" s="31" t="s">
        <v>271</v>
      </c>
      <c r="C234" s="31" t="s">
        <v>257</v>
      </c>
      <c r="D234" s="31" t="s">
        <v>263</v>
      </c>
      <c r="E234" s="38">
        <v>41838</v>
      </c>
      <c r="F234" s="35">
        <v>8</v>
      </c>
      <c r="G234" s="35">
        <v>4521</v>
      </c>
      <c r="H234" s="46"/>
      <c r="I234" s="47"/>
      <c r="J234"/>
      <c r="K234"/>
      <c r="L234"/>
      <c r="M234"/>
    </row>
    <row r="235" spans="1:13" x14ac:dyDescent="0.25">
      <c r="A235" s="31" t="s">
        <v>276</v>
      </c>
      <c r="B235" s="31" t="s">
        <v>273</v>
      </c>
      <c r="C235" s="31" t="s">
        <v>260</v>
      </c>
      <c r="D235" s="31" t="s">
        <v>269</v>
      </c>
      <c r="E235" s="38">
        <v>41838</v>
      </c>
      <c r="F235" s="35">
        <v>8</v>
      </c>
      <c r="G235" s="35">
        <v>3639</v>
      </c>
      <c r="H235" s="46"/>
      <c r="I235" s="47"/>
      <c r="J235"/>
      <c r="K235"/>
      <c r="L235"/>
      <c r="M235"/>
    </row>
    <row r="236" spans="1:13" x14ac:dyDescent="0.25">
      <c r="A236" s="31" t="s">
        <v>272</v>
      </c>
      <c r="B236" s="31" t="s">
        <v>262</v>
      </c>
      <c r="C236" s="31" t="s">
        <v>258</v>
      </c>
      <c r="D236" s="31" t="s">
        <v>275</v>
      </c>
      <c r="E236" s="38">
        <v>41838</v>
      </c>
      <c r="F236" s="35">
        <v>10</v>
      </c>
      <c r="G236" s="35">
        <v>4120</v>
      </c>
      <c r="H236" s="46"/>
      <c r="I236" s="47"/>
      <c r="J236"/>
      <c r="K236"/>
      <c r="L236"/>
      <c r="M236"/>
    </row>
    <row r="237" spans="1:13" x14ac:dyDescent="0.25">
      <c r="A237" s="31" t="s">
        <v>268</v>
      </c>
      <c r="B237" s="31" t="s">
        <v>271</v>
      </c>
      <c r="C237" s="31" t="s">
        <v>257</v>
      </c>
      <c r="D237" s="31" t="s">
        <v>267</v>
      </c>
      <c r="E237" s="38">
        <v>41839</v>
      </c>
      <c r="F237" s="35">
        <v>15</v>
      </c>
      <c r="G237" s="35">
        <v>4620</v>
      </c>
      <c r="H237" s="46"/>
      <c r="I237" s="47"/>
      <c r="J237"/>
      <c r="K237"/>
      <c r="L237"/>
      <c r="M237"/>
    </row>
    <row r="238" spans="1:13" x14ac:dyDescent="0.25">
      <c r="A238" s="31" t="s">
        <v>264</v>
      </c>
      <c r="B238" s="31" t="s">
        <v>278</v>
      </c>
      <c r="C238" s="31" t="s">
        <v>260</v>
      </c>
      <c r="D238" s="31" t="s">
        <v>267</v>
      </c>
      <c r="E238" s="38">
        <v>41840</v>
      </c>
      <c r="F238" s="35">
        <v>10</v>
      </c>
      <c r="G238" s="35">
        <v>3020</v>
      </c>
      <c r="H238" s="46"/>
      <c r="I238" s="47"/>
      <c r="J238"/>
      <c r="K238"/>
      <c r="L238"/>
      <c r="M238"/>
    </row>
    <row r="239" spans="1:13" x14ac:dyDescent="0.25">
      <c r="A239" s="31" t="s">
        <v>265</v>
      </c>
      <c r="B239" s="31" t="s">
        <v>262</v>
      </c>
      <c r="C239" s="31" t="s">
        <v>257</v>
      </c>
      <c r="D239" s="31" t="s">
        <v>269</v>
      </c>
      <c r="E239" s="38">
        <v>41840</v>
      </c>
      <c r="F239" s="35">
        <v>13</v>
      </c>
      <c r="G239" s="35">
        <v>7788</v>
      </c>
      <c r="H239" s="46"/>
      <c r="I239" s="47"/>
      <c r="J239"/>
      <c r="K239"/>
      <c r="L239"/>
      <c r="M239"/>
    </row>
    <row r="240" spans="1:13" x14ac:dyDescent="0.25">
      <c r="A240" s="31" t="s">
        <v>280</v>
      </c>
      <c r="B240" s="31" t="s">
        <v>266</v>
      </c>
      <c r="C240" s="31" t="s">
        <v>257</v>
      </c>
      <c r="D240" s="31" t="s">
        <v>282</v>
      </c>
      <c r="E240" s="38">
        <v>41841</v>
      </c>
      <c r="F240" s="35">
        <v>3</v>
      </c>
      <c r="G240" s="35">
        <v>1238</v>
      </c>
      <c r="H240" s="46"/>
      <c r="I240" s="47"/>
      <c r="J240"/>
      <c r="K240"/>
      <c r="L240"/>
      <c r="M240"/>
    </row>
    <row r="241" spans="1:13" x14ac:dyDescent="0.25">
      <c r="A241" s="31" t="s">
        <v>272</v>
      </c>
      <c r="B241" s="31" t="s">
        <v>266</v>
      </c>
      <c r="C241" s="31" t="s">
        <v>257</v>
      </c>
      <c r="D241" s="31" t="s">
        <v>263</v>
      </c>
      <c r="E241" s="38">
        <v>41843</v>
      </c>
      <c r="F241" s="35">
        <v>10</v>
      </c>
      <c r="G241" s="35">
        <v>5572</v>
      </c>
      <c r="H241" s="46"/>
      <c r="I241" s="47"/>
      <c r="J241"/>
      <c r="K241"/>
      <c r="L241"/>
      <c r="M241"/>
    </row>
    <row r="242" spans="1:13" x14ac:dyDescent="0.25">
      <c r="A242" s="31" t="s">
        <v>280</v>
      </c>
      <c r="B242" s="31" t="s">
        <v>271</v>
      </c>
      <c r="C242" s="31" t="s">
        <v>257</v>
      </c>
      <c r="D242" s="31" t="s">
        <v>267</v>
      </c>
      <c r="E242" s="38">
        <v>41843</v>
      </c>
      <c r="F242" s="35">
        <v>4</v>
      </c>
      <c r="G242" s="35">
        <v>1227</v>
      </c>
      <c r="H242" s="46"/>
      <c r="I242" s="47"/>
      <c r="J242"/>
      <c r="K242"/>
      <c r="L242"/>
      <c r="M242"/>
    </row>
    <row r="243" spans="1:13" x14ac:dyDescent="0.25">
      <c r="A243" s="31" t="s">
        <v>277</v>
      </c>
      <c r="B243" s="31" t="s">
        <v>273</v>
      </c>
      <c r="C243" s="31" t="s">
        <v>260</v>
      </c>
      <c r="D243" s="31" t="s">
        <v>275</v>
      </c>
      <c r="E243" s="38">
        <v>41844</v>
      </c>
      <c r="F243" s="35">
        <v>9</v>
      </c>
      <c r="G243" s="35">
        <v>3669</v>
      </c>
      <c r="H243" s="46"/>
      <c r="I243" s="47"/>
      <c r="J243"/>
      <c r="K243"/>
      <c r="L243"/>
      <c r="M243"/>
    </row>
    <row r="244" spans="1:13" x14ac:dyDescent="0.25">
      <c r="A244" s="31" t="s">
        <v>265</v>
      </c>
      <c r="B244" s="31" t="s">
        <v>273</v>
      </c>
      <c r="C244" s="31" t="s">
        <v>257</v>
      </c>
      <c r="D244" s="31" t="s">
        <v>269</v>
      </c>
      <c r="E244" s="38">
        <v>41844</v>
      </c>
      <c r="F244" s="35">
        <v>13</v>
      </c>
      <c r="G244" s="35">
        <v>7732</v>
      </c>
      <c r="H244" s="46"/>
      <c r="I244" s="47"/>
      <c r="J244"/>
      <c r="K244"/>
      <c r="L244"/>
      <c r="M244"/>
    </row>
    <row r="245" spans="1:13" x14ac:dyDescent="0.25">
      <c r="A245" s="31" t="s">
        <v>279</v>
      </c>
      <c r="B245" s="31" t="s">
        <v>278</v>
      </c>
      <c r="C245" s="31" t="s">
        <v>257</v>
      </c>
      <c r="D245" s="31" t="s">
        <v>282</v>
      </c>
      <c r="E245" s="38">
        <v>41845</v>
      </c>
      <c r="F245" s="35">
        <v>11</v>
      </c>
      <c r="G245" s="35">
        <v>4455</v>
      </c>
      <c r="H245" s="46"/>
      <c r="I245" s="47"/>
      <c r="J245"/>
      <c r="K245"/>
      <c r="L245"/>
      <c r="M245"/>
    </row>
    <row r="246" spans="1:13" x14ac:dyDescent="0.25">
      <c r="A246" s="31" t="s">
        <v>280</v>
      </c>
      <c r="B246" s="31" t="s">
        <v>271</v>
      </c>
      <c r="C246" s="31" t="s">
        <v>257</v>
      </c>
      <c r="D246" s="31" t="s">
        <v>269</v>
      </c>
      <c r="E246" s="38">
        <v>41845</v>
      </c>
      <c r="F246" s="35">
        <v>13</v>
      </c>
      <c r="G246" s="35">
        <v>4261</v>
      </c>
      <c r="H246" s="46"/>
      <c r="I246" s="47"/>
      <c r="J246"/>
      <c r="K246"/>
      <c r="L246"/>
      <c r="M246"/>
    </row>
    <row r="247" spans="1:13" x14ac:dyDescent="0.25">
      <c r="A247" s="31" t="s">
        <v>281</v>
      </c>
      <c r="B247" s="31" t="s">
        <v>271</v>
      </c>
      <c r="C247" s="31" t="s">
        <v>259</v>
      </c>
      <c r="D247" s="31" t="s">
        <v>269</v>
      </c>
      <c r="E247" s="38">
        <v>41846</v>
      </c>
      <c r="F247" s="35">
        <v>12</v>
      </c>
      <c r="G247" s="35">
        <v>5496</v>
      </c>
      <c r="H247" s="46"/>
      <c r="I247" s="47"/>
      <c r="J247"/>
      <c r="K247"/>
      <c r="L247"/>
      <c r="M247"/>
    </row>
    <row r="248" spans="1:13" x14ac:dyDescent="0.25">
      <c r="A248" s="31" t="s">
        <v>261</v>
      </c>
      <c r="B248" s="31" t="s">
        <v>262</v>
      </c>
      <c r="C248" s="31" t="s">
        <v>257</v>
      </c>
      <c r="D248" s="31" t="s">
        <v>267</v>
      </c>
      <c r="E248" s="38">
        <v>41847</v>
      </c>
      <c r="F248" s="35">
        <v>11</v>
      </c>
      <c r="G248" s="35">
        <v>5885</v>
      </c>
      <c r="H248" s="46"/>
      <c r="I248" s="47"/>
      <c r="J248"/>
      <c r="K248"/>
      <c r="L248"/>
      <c r="M248"/>
    </row>
    <row r="249" spans="1:13" x14ac:dyDescent="0.25">
      <c r="A249" s="31" t="s">
        <v>268</v>
      </c>
      <c r="B249" s="31" t="s">
        <v>273</v>
      </c>
      <c r="C249" s="31" t="s">
        <v>257</v>
      </c>
      <c r="D249" s="31" t="s">
        <v>269</v>
      </c>
      <c r="E249" s="38">
        <v>41850</v>
      </c>
      <c r="F249" s="35">
        <v>21</v>
      </c>
      <c r="G249" s="35">
        <v>6710</v>
      </c>
      <c r="H249" s="46"/>
      <c r="I249" s="47"/>
      <c r="J249"/>
      <c r="K249"/>
      <c r="L249"/>
      <c r="M249"/>
    </row>
    <row r="250" spans="1:13" x14ac:dyDescent="0.25">
      <c r="A250" s="31" t="s">
        <v>276</v>
      </c>
      <c r="B250" s="31" t="s">
        <v>262</v>
      </c>
      <c r="C250" s="31" t="s">
        <v>259</v>
      </c>
      <c r="D250" s="31" t="s">
        <v>269</v>
      </c>
      <c r="E250" s="38">
        <v>41850</v>
      </c>
      <c r="F250" s="35">
        <v>16</v>
      </c>
      <c r="G250" s="35">
        <v>7854</v>
      </c>
      <c r="H250" s="46"/>
      <c r="I250" s="47"/>
      <c r="J250"/>
      <c r="K250"/>
      <c r="L250"/>
      <c r="M250"/>
    </row>
    <row r="251" spans="1:13" x14ac:dyDescent="0.25">
      <c r="A251" s="31" t="s">
        <v>276</v>
      </c>
      <c r="B251" s="31" t="s">
        <v>271</v>
      </c>
      <c r="C251" s="31" t="s">
        <v>257</v>
      </c>
      <c r="D251" s="31" t="s">
        <v>269</v>
      </c>
      <c r="E251" s="38">
        <v>41851</v>
      </c>
      <c r="F251" s="35">
        <v>8</v>
      </c>
      <c r="G251" s="35">
        <v>4216</v>
      </c>
      <c r="H251" s="46"/>
      <c r="I251" s="47"/>
      <c r="J251"/>
      <c r="K251"/>
      <c r="L251"/>
      <c r="M251"/>
    </row>
    <row r="252" spans="1:13" x14ac:dyDescent="0.25">
      <c r="A252" s="31" t="s">
        <v>272</v>
      </c>
      <c r="B252" s="31" t="s">
        <v>273</v>
      </c>
      <c r="C252" s="31" t="s">
        <v>258</v>
      </c>
      <c r="D252" s="31" t="s">
        <v>263</v>
      </c>
      <c r="E252" s="38">
        <v>41851</v>
      </c>
      <c r="F252" s="35">
        <v>16</v>
      </c>
      <c r="G252" s="35">
        <v>6782</v>
      </c>
      <c r="H252" s="46"/>
      <c r="I252" s="47"/>
      <c r="J252"/>
      <c r="K252"/>
      <c r="L252"/>
      <c r="M252"/>
    </row>
    <row r="253" spans="1:13" x14ac:dyDescent="0.25">
      <c r="A253" s="31" t="s">
        <v>261</v>
      </c>
      <c r="B253" s="31" t="s">
        <v>271</v>
      </c>
      <c r="C253" s="31" t="s">
        <v>259</v>
      </c>
      <c r="D253" s="31" t="s">
        <v>275</v>
      </c>
      <c r="E253" s="38">
        <v>41851</v>
      </c>
      <c r="F253" s="35">
        <v>5</v>
      </c>
      <c r="G253" s="35">
        <v>2206</v>
      </c>
      <c r="H253" s="46"/>
      <c r="I253" s="47"/>
      <c r="J253"/>
      <c r="K253"/>
      <c r="L253"/>
      <c r="M253"/>
    </row>
    <row r="254" spans="1:13" x14ac:dyDescent="0.25">
      <c r="A254" s="31" t="s">
        <v>265</v>
      </c>
      <c r="B254" s="31" t="s">
        <v>266</v>
      </c>
      <c r="C254" s="31" t="s">
        <v>260</v>
      </c>
      <c r="D254" s="31" t="s">
        <v>267</v>
      </c>
      <c r="E254" s="38">
        <v>41852</v>
      </c>
      <c r="F254" s="35">
        <v>9</v>
      </c>
      <c r="G254" s="35">
        <v>3388</v>
      </c>
      <c r="H254" s="46"/>
      <c r="I254" s="47"/>
      <c r="J254"/>
      <c r="K254"/>
      <c r="L254"/>
      <c r="M254"/>
    </row>
    <row r="255" spans="1:13" x14ac:dyDescent="0.25">
      <c r="A255" s="31" t="s">
        <v>279</v>
      </c>
      <c r="B255" s="31" t="s">
        <v>266</v>
      </c>
      <c r="C255" s="31" t="s">
        <v>258</v>
      </c>
      <c r="D255" s="31" t="s">
        <v>282</v>
      </c>
      <c r="E255" s="38">
        <v>41852</v>
      </c>
      <c r="F255" s="35">
        <v>6</v>
      </c>
      <c r="G255" s="35">
        <v>3069</v>
      </c>
      <c r="H255" s="46"/>
      <c r="I255" s="47"/>
      <c r="J255"/>
      <c r="K255"/>
      <c r="L255"/>
      <c r="M255"/>
    </row>
    <row r="256" spans="1:13" x14ac:dyDescent="0.25">
      <c r="A256" s="31" t="s">
        <v>277</v>
      </c>
      <c r="B256" s="31" t="s">
        <v>271</v>
      </c>
      <c r="C256" s="31" t="s">
        <v>258</v>
      </c>
      <c r="D256" s="31" t="s">
        <v>263</v>
      </c>
      <c r="E256" s="38">
        <v>41854</v>
      </c>
      <c r="F256" s="35">
        <v>3</v>
      </c>
      <c r="G256" s="35">
        <v>897</v>
      </c>
      <c r="H256" s="46"/>
      <c r="I256" s="47"/>
      <c r="J256"/>
      <c r="K256"/>
      <c r="L256"/>
      <c r="M256"/>
    </row>
    <row r="257" spans="1:13" x14ac:dyDescent="0.25">
      <c r="A257" s="31" t="s">
        <v>272</v>
      </c>
      <c r="B257" s="31" t="s">
        <v>271</v>
      </c>
      <c r="C257" s="31" t="s">
        <v>257</v>
      </c>
      <c r="D257" s="31" t="s">
        <v>267</v>
      </c>
      <c r="E257" s="38">
        <v>41854</v>
      </c>
      <c r="F257" s="35">
        <v>15</v>
      </c>
      <c r="G257" s="35">
        <v>6853</v>
      </c>
      <c r="H257" s="46"/>
      <c r="I257" s="47"/>
      <c r="J257"/>
      <c r="K257"/>
      <c r="L257"/>
      <c r="M257"/>
    </row>
    <row r="258" spans="1:13" x14ac:dyDescent="0.25">
      <c r="A258" s="31" t="s">
        <v>268</v>
      </c>
      <c r="B258" s="31" t="s">
        <v>273</v>
      </c>
      <c r="C258" s="31" t="s">
        <v>259</v>
      </c>
      <c r="D258" s="31" t="s">
        <v>282</v>
      </c>
      <c r="E258" s="38">
        <v>41857</v>
      </c>
      <c r="F258" s="35">
        <v>14</v>
      </c>
      <c r="G258" s="35">
        <v>6122</v>
      </c>
      <c r="H258" s="46"/>
      <c r="I258" s="47"/>
      <c r="J258"/>
      <c r="K258"/>
      <c r="L258"/>
      <c r="M258"/>
    </row>
    <row r="259" spans="1:13" x14ac:dyDescent="0.25">
      <c r="A259" s="31" t="s">
        <v>281</v>
      </c>
      <c r="B259" s="31" t="s">
        <v>278</v>
      </c>
      <c r="C259" s="31" t="s">
        <v>259</v>
      </c>
      <c r="D259" s="31" t="s">
        <v>275</v>
      </c>
      <c r="E259" s="38">
        <v>41858</v>
      </c>
      <c r="F259" s="35">
        <v>4</v>
      </c>
      <c r="G259" s="35">
        <v>1694</v>
      </c>
      <c r="H259" s="46"/>
      <c r="I259" s="47"/>
      <c r="J259"/>
      <c r="K259"/>
      <c r="L259"/>
      <c r="M259"/>
    </row>
    <row r="260" spans="1:13" x14ac:dyDescent="0.25">
      <c r="A260" s="31" t="s">
        <v>261</v>
      </c>
      <c r="B260" s="31" t="s">
        <v>271</v>
      </c>
      <c r="C260" s="31" t="s">
        <v>259</v>
      </c>
      <c r="D260" s="31" t="s">
        <v>269</v>
      </c>
      <c r="E260" s="38">
        <v>41859</v>
      </c>
      <c r="F260" s="35">
        <v>21</v>
      </c>
      <c r="G260" s="35">
        <v>11770</v>
      </c>
      <c r="H260" s="46"/>
      <c r="I260" s="47"/>
      <c r="J260"/>
      <c r="K260"/>
      <c r="L260"/>
      <c r="M260"/>
    </row>
    <row r="261" spans="1:13" x14ac:dyDescent="0.25">
      <c r="A261" s="31" t="s">
        <v>272</v>
      </c>
      <c r="B261" s="31" t="s">
        <v>266</v>
      </c>
      <c r="C261" s="31" t="s">
        <v>259</v>
      </c>
      <c r="D261" s="31" t="s">
        <v>275</v>
      </c>
      <c r="E261" s="38">
        <v>41861</v>
      </c>
      <c r="F261" s="35">
        <v>10</v>
      </c>
      <c r="G261" s="35">
        <v>5467</v>
      </c>
      <c r="H261" s="46"/>
      <c r="I261" s="47"/>
      <c r="J261"/>
      <c r="K261"/>
      <c r="L261"/>
      <c r="M261"/>
    </row>
    <row r="262" spans="1:13" x14ac:dyDescent="0.25">
      <c r="A262" s="31" t="s">
        <v>279</v>
      </c>
      <c r="B262" s="31" t="s">
        <v>262</v>
      </c>
      <c r="C262" s="31" t="s">
        <v>259</v>
      </c>
      <c r="D262" s="31" t="s">
        <v>275</v>
      </c>
      <c r="E262" s="38">
        <v>41862</v>
      </c>
      <c r="F262" s="35">
        <v>16</v>
      </c>
      <c r="G262" s="35">
        <v>6749</v>
      </c>
      <c r="H262" s="46"/>
      <c r="I262" s="47"/>
      <c r="J262"/>
      <c r="K262"/>
      <c r="L262"/>
      <c r="M262"/>
    </row>
    <row r="263" spans="1:13" x14ac:dyDescent="0.25">
      <c r="A263" s="31" t="s">
        <v>268</v>
      </c>
      <c r="B263" s="31" t="s">
        <v>273</v>
      </c>
      <c r="C263" s="31" t="s">
        <v>258</v>
      </c>
      <c r="D263" s="31" t="s">
        <v>275</v>
      </c>
      <c r="E263" s="38">
        <v>41864</v>
      </c>
      <c r="F263" s="35">
        <v>3</v>
      </c>
      <c r="G263" s="35">
        <v>957</v>
      </c>
      <c r="H263" s="46"/>
      <c r="I263" s="47"/>
      <c r="J263"/>
      <c r="K263"/>
      <c r="L263"/>
      <c r="M263"/>
    </row>
    <row r="264" spans="1:13" x14ac:dyDescent="0.25">
      <c r="A264" s="31" t="s">
        <v>265</v>
      </c>
      <c r="B264" s="31" t="s">
        <v>266</v>
      </c>
      <c r="C264" s="31" t="s">
        <v>257</v>
      </c>
      <c r="D264" s="31" t="s">
        <v>267</v>
      </c>
      <c r="E264" s="38">
        <v>41864</v>
      </c>
      <c r="F264" s="35">
        <v>2</v>
      </c>
      <c r="G264" s="35">
        <v>655</v>
      </c>
      <c r="H264" s="46"/>
      <c r="I264" s="47"/>
      <c r="J264"/>
      <c r="K264"/>
      <c r="L264"/>
      <c r="M264"/>
    </row>
    <row r="265" spans="1:13" x14ac:dyDescent="0.25">
      <c r="A265" s="31" t="s">
        <v>277</v>
      </c>
      <c r="B265" s="31" t="s">
        <v>271</v>
      </c>
      <c r="C265" s="31" t="s">
        <v>260</v>
      </c>
      <c r="D265" s="31" t="s">
        <v>267</v>
      </c>
      <c r="E265" s="38">
        <v>41864</v>
      </c>
      <c r="F265" s="35">
        <v>4</v>
      </c>
      <c r="G265" s="35">
        <v>1062</v>
      </c>
      <c r="H265" s="46"/>
      <c r="I265" s="47"/>
      <c r="J265"/>
      <c r="K265"/>
      <c r="L265"/>
      <c r="M265"/>
    </row>
    <row r="266" spans="1:13" x14ac:dyDescent="0.25">
      <c r="A266" s="31" t="s">
        <v>265</v>
      </c>
      <c r="B266" s="31" t="s">
        <v>271</v>
      </c>
      <c r="C266" s="31" t="s">
        <v>258</v>
      </c>
      <c r="D266" s="31" t="s">
        <v>275</v>
      </c>
      <c r="E266" s="38">
        <v>41864</v>
      </c>
      <c r="F266" s="35">
        <v>11</v>
      </c>
      <c r="G266" s="35">
        <v>3476</v>
      </c>
      <c r="H266" s="46"/>
      <c r="I266" s="47"/>
      <c r="J266"/>
      <c r="K266"/>
      <c r="L266"/>
      <c r="M266"/>
    </row>
    <row r="267" spans="1:13" x14ac:dyDescent="0.25">
      <c r="A267" s="31" t="s">
        <v>280</v>
      </c>
      <c r="B267" s="31" t="s">
        <v>273</v>
      </c>
      <c r="C267" s="31" t="s">
        <v>258</v>
      </c>
      <c r="D267" s="31" t="s">
        <v>263</v>
      </c>
      <c r="E267" s="38">
        <v>41865</v>
      </c>
      <c r="F267" s="35">
        <v>9</v>
      </c>
      <c r="G267" s="35">
        <v>5148</v>
      </c>
      <c r="H267" s="46"/>
      <c r="I267" s="47"/>
      <c r="J267"/>
      <c r="K267"/>
      <c r="L267"/>
      <c r="M267"/>
    </row>
    <row r="268" spans="1:13" x14ac:dyDescent="0.25">
      <c r="A268" s="31" t="s">
        <v>277</v>
      </c>
      <c r="B268" s="31" t="s">
        <v>271</v>
      </c>
      <c r="C268" s="31" t="s">
        <v>259</v>
      </c>
      <c r="D268" s="31" t="s">
        <v>269</v>
      </c>
      <c r="E268" s="38">
        <v>41866</v>
      </c>
      <c r="F268" s="35">
        <v>7</v>
      </c>
      <c r="G268" s="35">
        <v>3168</v>
      </c>
      <c r="H268" s="46"/>
      <c r="I268" s="47"/>
      <c r="J268"/>
      <c r="K268"/>
      <c r="L268"/>
      <c r="M268"/>
    </row>
    <row r="269" spans="1:13" x14ac:dyDescent="0.25">
      <c r="A269" s="31" t="s">
        <v>270</v>
      </c>
      <c r="B269" s="31" t="s">
        <v>273</v>
      </c>
      <c r="C269" s="31" t="s">
        <v>257</v>
      </c>
      <c r="D269" s="31" t="s">
        <v>275</v>
      </c>
      <c r="E269" s="38">
        <v>41866</v>
      </c>
      <c r="F269" s="35">
        <v>2</v>
      </c>
      <c r="G269" s="35">
        <v>396</v>
      </c>
      <c r="H269" s="46"/>
      <c r="I269" s="47"/>
      <c r="J269"/>
      <c r="K269"/>
      <c r="L269"/>
      <c r="M269"/>
    </row>
    <row r="270" spans="1:13" x14ac:dyDescent="0.25">
      <c r="A270" s="31" t="s">
        <v>261</v>
      </c>
      <c r="B270" s="31" t="s">
        <v>266</v>
      </c>
      <c r="C270" s="31" t="s">
        <v>259</v>
      </c>
      <c r="D270" s="31" t="s">
        <v>275</v>
      </c>
      <c r="E270" s="38">
        <v>41867</v>
      </c>
      <c r="F270" s="35">
        <v>14</v>
      </c>
      <c r="G270" s="35">
        <v>4846</v>
      </c>
      <c r="H270" s="46"/>
      <c r="I270" s="47"/>
      <c r="J270"/>
      <c r="K270"/>
      <c r="L270"/>
      <c r="M270"/>
    </row>
    <row r="271" spans="1:13" x14ac:dyDescent="0.25">
      <c r="A271" s="31" t="s">
        <v>280</v>
      </c>
      <c r="B271" s="31" t="s">
        <v>278</v>
      </c>
      <c r="C271" s="31" t="s">
        <v>258</v>
      </c>
      <c r="D271" s="31" t="s">
        <v>275</v>
      </c>
      <c r="E271" s="38">
        <v>41868</v>
      </c>
      <c r="F271" s="35">
        <v>10</v>
      </c>
      <c r="G271" s="35">
        <v>5258</v>
      </c>
      <c r="H271" s="46"/>
      <c r="I271" s="47"/>
      <c r="J271"/>
      <c r="K271"/>
      <c r="L271"/>
      <c r="M271"/>
    </row>
    <row r="272" spans="1:13" x14ac:dyDescent="0.25">
      <c r="A272" s="31" t="s">
        <v>265</v>
      </c>
      <c r="B272" s="31" t="s">
        <v>266</v>
      </c>
      <c r="C272" s="31" t="s">
        <v>259</v>
      </c>
      <c r="D272" s="31" t="s">
        <v>267</v>
      </c>
      <c r="E272" s="38">
        <v>41869</v>
      </c>
      <c r="F272" s="35">
        <v>5</v>
      </c>
      <c r="G272" s="35">
        <v>1738</v>
      </c>
      <c r="H272" s="46"/>
      <c r="I272" s="47"/>
      <c r="J272"/>
      <c r="K272"/>
      <c r="L272"/>
      <c r="M272"/>
    </row>
    <row r="273" spans="1:13" x14ac:dyDescent="0.25">
      <c r="A273" s="31" t="s">
        <v>276</v>
      </c>
      <c r="B273" s="31" t="s">
        <v>271</v>
      </c>
      <c r="C273" s="31" t="s">
        <v>259</v>
      </c>
      <c r="D273" s="31" t="s">
        <v>275</v>
      </c>
      <c r="E273" s="38">
        <v>41871</v>
      </c>
      <c r="F273" s="35">
        <v>9</v>
      </c>
      <c r="G273" s="35">
        <v>3553</v>
      </c>
      <c r="H273" s="46"/>
      <c r="I273" s="47"/>
      <c r="J273"/>
      <c r="K273"/>
      <c r="L273"/>
      <c r="M273"/>
    </row>
    <row r="274" spans="1:13" x14ac:dyDescent="0.25">
      <c r="A274" s="31" t="s">
        <v>268</v>
      </c>
      <c r="B274" s="31" t="s">
        <v>271</v>
      </c>
      <c r="C274" s="31" t="s">
        <v>257</v>
      </c>
      <c r="D274" s="31" t="s">
        <v>282</v>
      </c>
      <c r="E274" s="38">
        <v>41871</v>
      </c>
      <c r="F274" s="35">
        <v>6</v>
      </c>
      <c r="G274" s="35">
        <v>1832</v>
      </c>
      <c r="H274" s="46"/>
      <c r="I274" s="47"/>
      <c r="J274"/>
      <c r="K274"/>
      <c r="L274"/>
      <c r="M274"/>
    </row>
    <row r="275" spans="1:13" x14ac:dyDescent="0.25">
      <c r="A275" s="31" t="s">
        <v>279</v>
      </c>
      <c r="B275" s="31" t="s">
        <v>278</v>
      </c>
      <c r="C275" s="31" t="s">
        <v>258</v>
      </c>
      <c r="D275" s="31" t="s">
        <v>269</v>
      </c>
      <c r="E275" s="38">
        <v>41871</v>
      </c>
      <c r="F275" s="35">
        <v>13</v>
      </c>
      <c r="G275" s="35">
        <v>6082</v>
      </c>
      <c r="H275" s="46"/>
      <c r="I275" s="47"/>
      <c r="J275"/>
      <c r="K275"/>
      <c r="L275"/>
      <c r="M275"/>
    </row>
    <row r="276" spans="1:13" x14ac:dyDescent="0.25">
      <c r="A276" s="31" t="s">
        <v>274</v>
      </c>
      <c r="B276" s="31" t="s">
        <v>273</v>
      </c>
      <c r="C276" s="31" t="s">
        <v>258</v>
      </c>
      <c r="D276" s="31" t="s">
        <v>263</v>
      </c>
      <c r="E276" s="38">
        <v>41872</v>
      </c>
      <c r="F276" s="35">
        <v>4</v>
      </c>
      <c r="G276" s="35">
        <v>1194</v>
      </c>
      <c r="H276" s="46"/>
      <c r="I276" s="47"/>
      <c r="J276"/>
      <c r="K276"/>
      <c r="L276"/>
      <c r="M276"/>
    </row>
    <row r="277" spans="1:13" x14ac:dyDescent="0.25">
      <c r="A277" s="31" t="s">
        <v>280</v>
      </c>
      <c r="B277" s="31" t="s">
        <v>271</v>
      </c>
      <c r="C277" s="31" t="s">
        <v>259</v>
      </c>
      <c r="D277" s="31" t="s">
        <v>263</v>
      </c>
      <c r="E277" s="38">
        <v>41872</v>
      </c>
      <c r="F277" s="35">
        <v>16</v>
      </c>
      <c r="G277" s="35">
        <v>6683</v>
      </c>
      <c r="H277" s="46"/>
      <c r="I277" s="47"/>
      <c r="J277"/>
      <c r="K277"/>
      <c r="L277"/>
      <c r="M277"/>
    </row>
    <row r="278" spans="1:13" x14ac:dyDescent="0.25">
      <c r="A278" s="31" t="s">
        <v>276</v>
      </c>
      <c r="B278" s="31" t="s">
        <v>278</v>
      </c>
      <c r="C278" s="31" t="s">
        <v>257</v>
      </c>
      <c r="D278" s="31" t="s">
        <v>282</v>
      </c>
      <c r="E278" s="38">
        <v>41874</v>
      </c>
      <c r="F278" s="35">
        <v>6</v>
      </c>
      <c r="G278" s="35">
        <v>2338</v>
      </c>
      <c r="H278" s="46"/>
      <c r="I278" s="47"/>
      <c r="J278"/>
      <c r="K278"/>
      <c r="L278"/>
      <c r="M278"/>
    </row>
    <row r="279" spans="1:13" x14ac:dyDescent="0.25">
      <c r="A279" s="31" t="s">
        <v>281</v>
      </c>
      <c r="B279" s="31" t="s">
        <v>278</v>
      </c>
      <c r="C279" s="31" t="s">
        <v>257</v>
      </c>
      <c r="D279" s="31" t="s">
        <v>275</v>
      </c>
      <c r="E279" s="38">
        <v>41875</v>
      </c>
      <c r="F279" s="35">
        <v>13</v>
      </c>
      <c r="G279" s="35">
        <v>7695</v>
      </c>
      <c r="H279" s="46"/>
      <c r="I279" s="47"/>
      <c r="J279"/>
      <c r="K279"/>
      <c r="L279"/>
      <c r="M279"/>
    </row>
    <row r="280" spans="1:13" x14ac:dyDescent="0.25">
      <c r="A280" s="31" t="s">
        <v>272</v>
      </c>
      <c r="B280" s="31" t="s">
        <v>273</v>
      </c>
      <c r="C280" s="31" t="s">
        <v>257</v>
      </c>
      <c r="D280" s="31" t="s">
        <v>263</v>
      </c>
      <c r="E280" s="38">
        <v>41879</v>
      </c>
      <c r="F280" s="35">
        <v>13</v>
      </c>
      <c r="G280" s="35">
        <v>6919</v>
      </c>
      <c r="H280" s="46"/>
      <c r="I280" s="47"/>
      <c r="J280"/>
      <c r="K280"/>
      <c r="L280"/>
      <c r="M280"/>
    </row>
    <row r="281" spans="1:13" x14ac:dyDescent="0.25">
      <c r="A281" s="31" t="s">
        <v>265</v>
      </c>
      <c r="B281" s="31" t="s">
        <v>271</v>
      </c>
      <c r="C281" s="31" t="s">
        <v>258</v>
      </c>
      <c r="D281" s="31" t="s">
        <v>269</v>
      </c>
      <c r="E281" s="38">
        <v>41879</v>
      </c>
      <c r="F281" s="35">
        <v>12</v>
      </c>
      <c r="G281" s="35">
        <v>4104</v>
      </c>
      <c r="H281" s="46"/>
      <c r="I281" s="47"/>
      <c r="J281"/>
      <c r="K281"/>
      <c r="L281"/>
      <c r="M281"/>
    </row>
    <row r="282" spans="1:13" x14ac:dyDescent="0.25">
      <c r="A282" s="31" t="s">
        <v>280</v>
      </c>
      <c r="B282" s="31" t="s">
        <v>278</v>
      </c>
      <c r="C282" s="31" t="s">
        <v>260</v>
      </c>
      <c r="D282" s="31" t="s">
        <v>263</v>
      </c>
      <c r="E282" s="38">
        <v>41879</v>
      </c>
      <c r="F282" s="35">
        <v>4</v>
      </c>
      <c r="G282" s="35">
        <v>1667</v>
      </c>
      <c r="H282" s="46"/>
      <c r="I282" s="47"/>
      <c r="J282"/>
      <c r="K282"/>
      <c r="L282"/>
      <c r="M282"/>
    </row>
    <row r="283" spans="1:13" x14ac:dyDescent="0.25">
      <c r="A283" s="31" t="s">
        <v>270</v>
      </c>
      <c r="B283" s="31" t="s">
        <v>278</v>
      </c>
      <c r="C283" s="31" t="s">
        <v>257</v>
      </c>
      <c r="D283" s="31" t="s">
        <v>282</v>
      </c>
      <c r="E283" s="38">
        <v>41879</v>
      </c>
      <c r="F283" s="35">
        <v>3</v>
      </c>
      <c r="G283" s="35">
        <v>853</v>
      </c>
      <c r="H283" s="46"/>
      <c r="I283" s="47"/>
      <c r="J283"/>
      <c r="K283"/>
      <c r="L283"/>
      <c r="M283"/>
    </row>
    <row r="284" spans="1:13" x14ac:dyDescent="0.25">
      <c r="A284" s="31" t="s">
        <v>277</v>
      </c>
      <c r="B284" s="31" t="s">
        <v>262</v>
      </c>
      <c r="C284" s="31" t="s">
        <v>257</v>
      </c>
      <c r="D284" s="31" t="s">
        <v>263</v>
      </c>
      <c r="E284" s="38">
        <v>41880</v>
      </c>
      <c r="F284" s="35">
        <v>10</v>
      </c>
      <c r="G284" s="35">
        <v>5187</v>
      </c>
      <c r="H284" s="46"/>
      <c r="I284" s="47"/>
      <c r="J284"/>
      <c r="K284"/>
      <c r="L284"/>
      <c r="M284"/>
    </row>
    <row r="285" spans="1:13" x14ac:dyDescent="0.25">
      <c r="A285" s="31" t="s">
        <v>280</v>
      </c>
      <c r="B285" s="31" t="s">
        <v>278</v>
      </c>
      <c r="C285" s="31" t="s">
        <v>260</v>
      </c>
      <c r="D285" s="31" t="s">
        <v>269</v>
      </c>
      <c r="E285" s="38">
        <v>41881</v>
      </c>
      <c r="F285" s="35">
        <v>12</v>
      </c>
      <c r="G285" s="35">
        <v>6353</v>
      </c>
      <c r="H285" s="46"/>
      <c r="I285" s="47"/>
      <c r="J285"/>
      <c r="K285"/>
      <c r="L285"/>
      <c r="M285"/>
    </row>
    <row r="286" spans="1:13" x14ac:dyDescent="0.25">
      <c r="A286" s="31" t="s">
        <v>265</v>
      </c>
      <c r="B286" s="31" t="s">
        <v>273</v>
      </c>
      <c r="C286" s="31" t="s">
        <v>257</v>
      </c>
      <c r="D286" s="31" t="s">
        <v>269</v>
      </c>
      <c r="E286" s="38">
        <v>41882</v>
      </c>
      <c r="F286" s="35">
        <v>10</v>
      </c>
      <c r="G286" s="35">
        <v>4158</v>
      </c>
      <c r="H286" s="46"/>
      <c r="I286" s="47"/>
      <c r="J286"/>
      <c r="K286"/>
      <c r="L286"/>
      <c r="M286"/>
    </row>
    <row r="287" spans="1:13" x14ac:dyDescent="0.25">
      <c r="A287" s="31" t="s">
        <v>280</v>
      </c>
      <c r="B287" s="31" t="s">
        <v>262</v>
      </c>
      <c r="C287" s="31" t="s">
        <v>260</v>
      </c>
      <c r="D287" s="31" t="s">
        <v>282</v>
      </c>
      <c r="E287" s="38">
        <v>41882</v>
      </c>
      <c r="F287" s="35">
        <v>2</v>
      </c>
      <c r="G287" s="35">
        <v>545</v>
      </c>
      <c r="H287" s="46"/>
      <c r="I287" s="47"/>
      <c r="J287"/>
      <c r="K287"/>
      <c r="L287"/>
      <c r="M287"/>
    </row>
    <row r="288" spans="1:13" x14ac:dyDescent="0.25">
      <c r="A288" s="31" t="s">
        <v>277</v>
      </c>
      <c r="B288" s="31" t="s">
        <v>278</v>
      </c>
      <c r="C288" s="31" t="s">
        <v>259</v>
      </c>
      <c r="D288" s="31" t="s">
        <v>263</v>
      </c>
      <c r="E288" s="38">
        <v>41885</v>
      </c>
      <c r="F288" s="35">
        <v>2</v>
      </c>
      <c r="G288" s="35">
        <v>435</v>
      </c>
      <c r="H288" s="46"/>
      <c r="I288" s="47"/>
      <c r="J288"/>
      <c r="K288"/>
      <c r="L288"/>
      <c r="M288"/>
    </row>
    <row r="289" spans="1:13" x14ac:dyDescent="0.25">
      <c r="A289" s="31" t="s">
        <v>268</v>
      </c>
      <c r="B289" s="31" t="s">
        <v>278</v>
      </c>
      <c r="C289" s="31" t="s">
        <v>257</v>
      </c>
      <c r="D289" s="31" t="s">
        <v>267</v>
      </c>
      <c r="E289" s="38">
        <v>41885</v>
      </c>
      <c r="F289" s="35">
        <v>14</v>
      </c>
      <c r="G289" s="35">
        <v>6133</v>
      </c>
      <c r="H289" s="46"/>
      <c r="I289" s="47"/>
      <c r="J289"/>
      <c r="K289"/>
      <c r="L289"/>
      <c r="M289"/>
    </row>
    <row r="290" spans="1:13" x14ac:dyDescent="0.25">
      <c r="A290" s="31" t="s">
        <v>261</v>
      </c>
      <c r="B290" s="31" t="s">
        <v>266</v>
      </c>
      <c r="C290" s="31" t="s">
        <v>259</v>
      </c>
      <c r="D290" s="31" t="s">
        <v>263</v>
      </c>
      <c r="E290" s="38">
        <v>41885</v>
      </c>
      <c r="F290" s="35">
        <v>5</v>
      </c>
      <c r="G290" s="35">
        <v>2321</v>
      </c>
      <c r="H290" s="46"/>
      <c r="I290" s="47"/>
      <c r="J290"/>
      <c r="K290"/>
      <c r="L290"/>
      <c r="M290"/>
    </row>
    <row r="291" spans="1:13" x14ac:dyDescent="0.25">
      <c r="A291" s="31" t="s">
        <v>276</v>
      </c>
      <c r="B291" s="31" t="s">
        <v>271</v>
      </c>
      <c r="C291" s="31" t="s">
        <v>260</v>
      </c>
      <c r="D291" s="31" t="s">
        <v>269</v>
      </c>
      <c r="E291" s="38">
        <v>41885</v>
      </c>
      <c r="F291" s="35">
        <v>8</v>
      </c>
      <c r="G291" s="35">
        <v>3003</v>
      </c>
      <c r="H291" s="46"/>
      <c r="I291" s="47"/>
      <c r="J291"/>
      <c r="K291"/>
      <c r="L291"/>
      <c r="M291"/>
    </row>
    <row r="292" spans="1:13" x14ac:dyDescent="0.25">
      <c r="A292" s="31" t="s">
        <v>279</v>
      </c>
      <c r="B292" s="31" t="s">
        <v>266</v>
      </c>
      <c r="C292" s="31" t="s">
        <v>258</v>
      </c>
      <c r="D292" s="31" t="s">
        <v>282</v>
      </c>
      <c r="E292" s="38">
        <v>41886</v>
      </c>
      <c r="F292" s="35">
        <v>2</v>
      </c>
      <c r="G292" s="35">
        <v>627</v>
      </c>
      <c r="H292" s="46"/>
      <c r="I292" s="47"/>
      <c r="J292"/>
      <c r="K292"/>
      <c r="L292"/>
      <c r="M292"/>
    </row>
    <row r="293" spans="1:13" x14ac:dyDescent="0.25">
      <c r="A293" s="31" t="s">
        <v>264</v>
      </c>
      <c r="B293" s="31" t="s">
        <v>266</v>
      </c>
      <c r="C293" s="31" t="s">
        <v>258</v>
      </c>
      <c r="D293" s="31" t="s">
        <v>267</v>
      </c>
      <c r="E293" s="38">
        <v>41886</v>
      </c>
      <c r="F293" s="35">
        <v>15</v>
      </c>
      <c r="G293" s="35">
        <v>5407</v>
      </c>
      <c r="H293" s="46"/>
      <c r="I293" s="47"/>
      <c r="J293"/>
      <c r="K293"/>
      <c r="L293"/>
      <c r="M293"/>
    </row>
    <row r="294" spans="1:13" x14ac:dyDescent="0.25">
      <c r="A294" s="31" t="s">
        <v>270</v>
      </c>
      <c r="B294" s="31" t="s">
        <v>271</v>
      </c>
      <c r="C294" s="31" t="s">
        <v>259</v>
      </c>
      <c r="D294" s="31" t="s">
        <v>263</v>
      </c>
      <c r="E294" s="38">
        <v>41888</v>
      </c>
      <c r="F294" s="35">
        <v>11</v>
      </c>
      <c r="G294" s="35">
        <v>5368</v>
      </c>
      <c r="H294" s="46"/>
      <c r="I294" s="47"/>
      <c r="J294"/>
      <c r="K294"/>
      <c r="L294"/>
      <c r="M294"/>
    </row>
    <row r="295" spans="1:13" x14ac:dyDescent="0.25">
      <c r="A295" s="31" t="s">
        <v>265</v>
      </c>
      <c r="B295" s="31" t="s">
        <v>273</v>
      </c>
      <c r="C295" s="31" t="s">
        <v>260</v>
      </c>
      <c r="D295" s="31" t="s">
        <v>263</v>
      </c>
      <c r="E295" s="38">
        <v>41888</v>
      </c>
      <c r="F295" s="35">
        <v>5</v>
      </c>
      <c r="G295" s="35">
        <v>2448</v>
      </c>
      <c r="H295" s="46"/>
      <c r="I295" s="47"/>
      <c r="J295"/>
      <c r="K295"/>
      <c r="L295"/>
      <c r="M295"/>
    </row>
    <row r="296" spans="1:13" x14ac:dyDescent="0.25">
      <c r="A296" s="31" t="s">
        <v>276</v>
      </c>
      <c r="B296" s="31" t="s">
        <v>262</v>
      </c>
      <c r="C296" s="31" t="s">
        <v>257</v>
      </c>
      <c r="D296" s="31" t="s">
        <v>267</v>
      </c>
      <c r="E296" s="38">
        <v>41888</v>
      </c>
      <c r="F296" s="35">
        <v>4</v>
      </c>
      <c r="G296" s="35">
        <v>1199</v>
      </c>
      <c r="H296" s="46"/>
      <c r="I296" s="47"/>
      <c r="J296"/>
      <c r="K296"/>
      <c r="L296"/>
      <c r="M296"/>
    </row>
    <row r="297" spans="1:13" x14ac:dyDescent="0.25">
      <c r="A297" s="31" t="s">
        <v>280</v>
      </c>
      <c r="B297" s="31" t="s">
        <v>278</v>
      </c>
      <c r="C297" s="31" t="s">
        <v>260</v>
      </c>
      <c r="D297" s="31" t="s">
        <v>269</v>
      </c>
      <c r="E297" s="38">
        <v>41890</v>
      </c>
      <c r="F297" s="35">
        <v>14</v>
      </c>
      <c r="G297" s="35">
        <v>7462</v>
      </c>
      <c r="H297" s="46"/>
      <c r="I297" s="47"/>
    </row>
    <row r="298" spans="1:13" x14ac:dyDescent="0.25">
      <c r="A298" s="31" t="s">
        <v>265</v>
      </c>
      <c r="B298" s="31" t="s">
        <v>266</v>
      </c>
      <c r="C298" s="31" t="s">
        <v>260</v>
      </c>
      <c r="D298" s="31" t="s">
        <v>282</v>
      </c>
      <c r="E298" s="38">
        <v>41890</v>
      </c>
      <c r="F298" s="35">
        <v>11</v>
      </c>
      <c r="G298" s="35">
        <v>3663</v>
      </c>
      <c r="H298" s="46"/>
      <c r="I298" s="47"/>
    </row>
    <row r="299" spans="1:13" x14ac:dyDescent="0.25">
      <c r="A299" s="31" t="s">
        <v>270</v>
      </c>
      <c r="B299" s="31" t="s">
        <v>271</v>
      </c>
      <c r="C299" s="31" t="s">
        <v>259</v>
      </c>
      <c r="D299" s="31" t="s">
        <v>267</v>
      </c>
      <c r="E299" s="38">
        <v>41890</v>
      </c>
      <c r="F299" s="35">
        <v>9</v>
      </c>
      <c r="G299" s="35">
        <v>4384</v>
      </c>
      <c r="H299" s="46"/>
      <c r="I299" s="47"/>
    </row>
    <row r="300" spans="1:13" x14ac:dyDescent="0.25">
      <c r="A300" s="31" t="s">
        <v>276</v>
      </c>
      <c r="B300" s="31" t="s">
        <v>271</v>
      </c>
      <c r="C300" s="31" t="s">
        <v>257</v>
      </c>
      <c r="D300" s="31" t="s">
        <v>267</v>
      </c>
      <c r="E300" s="38">
        <v>41890</v>
      </c>
      <c r="F300" s="35">
        <v>6</v>
      </c>
      <c r="G300" s="35">
        <v>2063</v>
      </c>
      <c r="H300" s="46"/>
      <c r="I300" s="47"/>
    </row>
    <row r="301" spans="1:13" x14ac:dyDescent="0.25">
      <c r="A301" s="31" t="s">
        <v>277</v>
      </c>
      <c r="B301" s="31" t="s">
        <v>266</v>
      </c>
      <c r="C301" s="31" t="s">
        <v>260</v>
      </c>
      <c r="D301" s="31" t="s">
        <v>269</v>
      </c>
      <c r="E301" s="38">
        <v>41890</v>
      </c>
      <c r="F301" s="35">
        <v>14</v>
      </c>
      <c r="G301" s="35">
        <v>6596</v>
      </c>
      <c r="H301" s="46"/>
      <c r="I301" s="47"/>
    </row>
    <row r="302" spans="1:13" x14ac:dyDescent="0.25">
      <c r="A302" s="31" t="s">
        <v>265</v>
      </c>
      <c r="B302" s="31" t="s">
        <v>271</v>
      </c>
      <c r="C302" s="31" t="s">
        <v>257</v>
      </c>
      <c r="D302" s="31" t="s">
        <v>275</v>
      </c>
      <c r="E302" s="38">
        <v>41893</v>
      </c>
      <c r="F302" s="35">
        <v>10</v>
      </c>
      <c r="G302" s="35">
        <v>4147</v>
      </c>
      <c r="H302" s="46"/>
      <c r="I302" s="47"/>
    </row>
    <row r="303" spans="1:13" x14ac:dyDescent="0.25">
      <c r="A303" s="31" t="s">
        <v>272</v>
      </c>
      <c r="B303" s="31" t="s">
        <v>266</v>
      </c>
      <c r="C303" s="31" t="s">
        <v>257</v>
      </c>
      <c r="D303" s="31" t="s">
        <v>282</v>
      </c>
      <c r="E303" s="38">
        <v>41893</v>
      </c>
      <c r="F303" s="35">
        <v>11</v>
      </c>
      <c r="G303" s="35">
        <v>5159</v>
      </c>
      <c r="H303" s="46"/>
      <c r="I303" s="47"/>
    </row>
    <row r="304" spans="1:13" x14ac:dyDescent="0.25">
      <c r="A304" s="31" t="s">
        <v>268</v>
      </c>
      <c r="B304" s="31" t="s">
        <v>266</v>
      </c>
      <c r="C304" s="31" t="s">
        <v>257</v>
      </c>
      <c r="D304" s="31" t="s">
        <v>282</v>
      </c>
      <c r="E304" s="38">
        <v>41893</v>
      </c>
      <c r="F304" s="35">
        <v>9</v>
      </c>
      <c r="G304" s="35">
        <v>3273</v>
      </c>
      <c r="H304" s="46"/>
      <c r="I304" s="47"/>
    </row>
    <row r="305" spans="1:9" x14ac:dyDescent="0.25">
      <c r="A305" s="31" t="s">
        <v>270</v>
      </c>
      <c r="B305" s="31" t="s">
        <v>262</v>
      </c>
      <c r="C305" s="31" t="s">
        <v>258</v>
      </c>
      <c r="D305" s="31" t="s">
        <v>267</v>
      </c>
      <c r="E305" s="38">
        <v>41893</v>
      </c>
      <c r="F305" s="35">
        <v>9</v>
      </c>
      <c r="G305" s="35">
        <v>3988</v>
      </c>
      <c r="H305" s="46"/>
      <c r="I305" s="47"/>
    </row>
    <row r="306" spans="1:9" x14ac:dyDescent="0.25">
      <c r="A306" s="31" t="s">
        <v>272</v>
      </c>
      <c r="B306" s="31" t="s">
        <v>266</v>
      </c>
      <c r="C306" s="31" t="s">
        <v>258</v>
      </c>
      <c r="D306" s="31" t="s">
        <v>282</v>
      </c>
      <c r="E306" s="38">
        <v>41895</v>
      </c>
      <c r="F306" s="35">
        <v>14</v>
      </c>
      <c r="G306" s="35">
        <v>7266</v>
      </c>
      <c r="H306" s="46"/>
      <c r="I306" s="47"/>
    </row>
    <row r="307" spans="1:9" x14ac:dyDescent="0.25">
      <c r="A307" s="31" t="s">
        <v>268</v>
      </c>
      <c r="B307" s="31" t="s">
        <v>278</v>
      </c>
      <c r="C307" s="31" t="s">
        <v>257</v>
      </c>
      <c r="D307" s="31" t="s">
        <v>282</v>
      </c>
      <c r="E307" s="38">
        <v>41896</v>
      </c>
      <c r="F307" s="35">
        <v>15</v>
      </c>
      <c r="G307" s="35">
        <v>5126</v>
      </c>
      <c r="H307" s="46"/>
      <c r="I307" s="47"/>
    </row>
    <row r="308" spans="1:9" x14ac:dyDescent="0.25">
      <c r="A308" s="31" t="s">
        <v>270</v>
      </c>
      <c r="B308" s="31" t="s">
        <v>266</v>
      </c>
      <c r="C308" s="31" t="s">
        <v>257</v>
      </c>
      <c r="D308" s="31" t="s">
        <v>282</v>
      </c>
      <c r="E308" s="38">
        <v>41896</v>
      </c>
      <c r="F308" s="35">
        <v>12</v>
      </c>
      <c r="G308" s="35">
        <v>7211</v>
      </c>
      <c r="H308" s="46"/>
      <c r="I308" s="47"/>
    </row>
    <row r="309" spans="1:9" x14ac:dyDescent="0.25">
      <c r="A309" s="31" t="s">
        <v>281</v>
      </c>
      <c r="B309" s="31" t="s">
        <v>271</v>
      </c>
      <c r="C309" s="31" t="s">
        <v>260</v>
      </c>
      <c r="D309" s="31" t="s">
        <v>275</v>
      </c>
      <c r="E309" s="38">
        <v>41896</v>
      </c>
      <c r="F309" s="35">
        <v>16</v>
      </c>
      <c r="G309" s="35">
        <v>5198</v>
      </c>
      <c r="H309" s="46"/>
      <c r="I309" s="47"/>
    </row>
    <row r="310" spans="1:9" x14ac:dyDescent="0.25">
      <c r="A310" s="31" t="s">
        <v>281</v>
      </c>
      <c r="B310" s="31" t="s">
        <v>266</v>
      </c>
      <c r="C310" s="31" t="s">
        <v>258</v>
      </c>
      <c r="D310" s="31" t="s">
        <v>267</v>
      </c>
      <c r="E310" s="38">
        <v>41897</v>
      </c>
      <c r="F310" s="35">
        <v>11</v>
      </c>
      <c r="G310" s="35">
        <v>4653</v>
      </c>
      <c r="H310" s="46"/>
      <c r="I310" s="47"/>
    </row>
    <row r="311" spans="1:9" x14ac:dyDescent="0.25">
      <c r="A311" s="31" t="s">
        <v>265</v>
      </c>
      <c r="B311" s="31" t="s">
        <v>262</v>
      </c>
      <c r="C311" s="31" t="s">
        <v>257</v>
      </c>
      <c r="D311" s="31" t="s">
        <v>263</v>
      </c>
      <c r="E311" s="38">
        <v>41897</v>
      </c>
      <c r="F311" s="35">
        <v>13</v>
      </c>
      <c r="G311" s="35">
        <v>7827</v>
      </c>
      <c r="H311" s="46"/>
      <c r="I311" s="47"/>
    </row>
    <row r="312" spans="1:9" x14ac:dyDescent="0.25">
      <c r="A312" s="31" t="s">
        <v>274</v>
      </c>
      <c r="B312" s="31" t="s">
        <v>266</v>
      </c>
      <c r="C312" s="31" t="s">
        <v>259</v>
      </c>
      <c r="D312" s="31" t="s">
        <v>263</v>
      </c>
      <c r="E312" s="38">
        <v>41900</v>
      </c>
      <c r="F312" s="35">
        <v>5</v>
      </c>
      <c r="G312" s="35">
        <v>2277</v>
      </c>
      <c r="H312" s="46"/>
      <c r="I312" s="47"/>
    </row>
    <row r="313" spans="1:9" x14ac:dyDescent="0.25">
      <c r="A313" s="31" t="s">
        <v>268</v>
      </c>
      <c r="B313" s="31" t="s">
        <v>278</v>
      </c>
      <c r="C313" s="31" t="s">
        <v>259</v>
      </c>
      <c r="D313" s="31" t="s">
        <v>282</v>
      </c>
      <c r="E313" s="38">
        <v>41900</v>
      </c>
      <c r="F313" s="35">
        <v>13</v>
      </c>
      <c r="G313" s="35">
        <v>5533</v>
      </c>
      <c r="H313" s="46"/>
      <c r="I313" s="47"/>
    </row>
    <row r="314" spans="1:9" x14ac:dyDescent="0.25">
      <c r="A314" s="31" t="s">
        <v>272</v>
      </c>
      <c r="B314" s="31" t="s">
        <v>278</v>
      </c>
      <c r="C314" s="31" t="s">
        <v>258</v>
      </c>
      <c r="D314" s="31" t="s">
        <v>275</v>
      </c>
      <c r="E314" s="38">
        <v>41902</v>
      </c>
      <c r="F314" s="35">
        <v>4</v>
      </c>
      <c r="G314" s="35">
        <v>1133</v>
      </c>
      <c r="H314" s="46"/>
      <c r="I314" s="47"/>
    </row>
    <row r="315" spans="1:9" x14ac:dyDescent="0.25">
      <c r="A315" s="31" t="s">
        <v>276</v>
      </c>
      <c r="B315" s="31" t="s">
        <v>271</v>
      </c>
      <c r="C315" s="31" t="s">
        <v>258</v>
      </c>
      <c r="D315" s="31" t="s">
        <v>267</v>
      </c>
      <c r="E315" s="38">
        <v>41903</v>
      </c>
      <c r="F315" s="35">
        <v>2</v>
      </c>
      <c r="G315" s="35">
        <v>506</v>
      </c>
      <c r="H315" s="46"/>
      <c r="I315" s="47"/>
    </row>
    <row r="316" spans="1:9" x14ac:dyDescent="0.25">
      <c r="A316" s="31" t="s">
        <v>268</v>
      </c>
      <c r="B316" s="31" t="s">
        <v>273</v>
      </c>
      <c r="C316" s="31" t="s">
        <v>260</v>
      </c>
      <c r="D316" s="31" t="s">
        <v>263</v>
      </c>
      <c r="E316" s="38">
        <v>41904</v>
      </c>
      <c r="F316" s="35">
        <v>5</v>
      </c>
      <c r="G316" s="35">
        <v>1766</v>
      </c>
      <c r="H316" s="46"/>
      <c r="I316" s="47"/>
    </row>
    <row r="317" spans="1:9" x14ac:dyDescent="0.25">
      <c r="A317" s="31" t="s">
        <v>276</v>
      </c>
      <c r="B317" s="31" t="s">
        <v>266</v>
      </c>
      <c r="C317" s="31" t="s">
        <v>260</v>
      </c>
      <c r="D317" s="31" t="s">
        <v>269</v>
      </c>
      <c r="E317" s="38">
        <v>41906</v>
      </c>
      <c r="F317" s="35">
        <v>7</v>
      </c>
      <c r="G317" s="35">
        <v>2640</v>
      </c>
      <c r="H317" s="46"/>
      <c r="I317" s="47"/>
    </row>
    <row r="318" spans="1:9" x14ac:dyDescent="0.25">
      <c r="A318" s="31" t="s">
        <v>276</v>
      </c>
      <c r="B318" s="31" t="s">
        <v>271</v>
      </c>
      <c r="C318" s="31" t="s">
        <v>257</v>
      </c>
      <c r="D318" s="31" t="s">
        <v>263</v>
      </c>
      <c r="E318" s="38">
        <v>41906</v>
      </c>
      <c r="F318" s="35">
        <v>2</v>
      </c>
      <c r="G318" s="35">
        <v>506</v>
      </c>
      <c r="H318" s="46"/>
      <c r="I318" s="47"/>
    </row>
    <row r="319" spans="1:9" x14ac:dyDescent="0.25">
      <c r="A319" s="31" t="s">
        <v>277</v>
      </c>
      <c r="B319" s="31" t="s">
        <v>262</v>
      </c>
      <c r="C319" s="31" t="s">
        <v>257</v>
      </c>
      <c r="D319" s="31" t="s">
        <v>263</v>
      </c>
      <c r="E319" s="38">
        <v>41907</v>
      </c>
      <c r="F319" s="35">
        <v>13</v>
      </c>
      <c r="G319" s="35">
        <v>6639</v>
      </c>
      <c r="H319" s="46"/>
      <c r="I319" s="47"/>
    </row>
    <row r="320" spans="1:9" x14ac:dyDescent="0.25">
      <c r="A320" s="31" t="s">
        <v>274</v>
      </c>
      <c r="B320" s="31" t="s">
        <v>273</v>
      </c>
      <c r="C320" s="31" t="s">
        <v>257</v>
      </c>
      <c r="D320" s="31" t="s">
        <v>282</v>
      </c>
      <c r="E320" s="38">
        <v>41908</v>
      </c>
      <c r="F320" s="35">
        <v>2</v>
      </c>
      <c r="G320" s="35">
        <v>468</v>
      </c>
      <c r="H320" s="46"/>
      <c r="I320" s="47"/>
    </row>
    <row r="321" spans="1:9" x14ac:dyDescent="0.25">
      <c r="A321" s="31" t="s">
        <v>268</v>
      </c>
      <c r="B321" s="31" t="s">
        <v>271</v>
      </c>
      <c r="C321" s="31" t="s">
        <v>259</v>
      </c>
      <c r="D321" s="31" t="s">
        <v>269</v>
      </c>
      <c r="E321" s="38">
        <v>41909</v>
      </c>
      <c r="F321" s="35">
        <v>7</v>
      </c>
      <c r="G321" s="35">
        <v>2145</v>
      </c>
      <c r="H321" s="46"/>
      <c r="I321" s="47"/>
    </row>
    <row r="322" spans="1:9" x14ac:dyDescent="0.25">
      <c r="A322" s="31" t="s">
        <v>280</v>
      </c>
      <c r="B322" s="31" t="s">
        <v>278</v>
      </c>
      <c r="C322" s="31" t="s">
        <v>259</v>
      </c>
      <c r="D322" s="31" t="s">
        <v>269</v>
      </c>
      <c r="E322" s="38">
        <v>41909</v>
      </c>
      <c r="F322" s="35">
        <v>21</v>
      </c>
      <c r="G322" s="35">
        <v>8338</v>
      </c>
      <c r="H322" s="46"/>
      <c r="I322" s="47"/>
    </row>
    <row r="323" spans="1:9" x14ac:dyDescent="0.25">
      <c r="A323" s="31" t="s">
        <v>264</v>
      </c>
      <c r="B323" s="31" t="s">
        <v>271</v>
      </c>
      <c r="C323" s="31" t="s">
        <v>257</v>
      </c>
      <c r="D323" s="31" t="s">
        <v>269</v>
      </c>
      <c r="E323" s="38">
        <v>41909</v>
      </c>
      <c r="F323" s="35">
        <v>20</v>
      </c>
      <c r="G323" s="35">
        <v>6434</v>
      </c>
      <c r="H323" s="46"/>
      <c r="I323" s="47"/>
    </row>
    <row r="324" spans="1:9" x14ac:dyDescent="0.25">
      <c r="A324" s="31" t="s">
        <v>264</v>
      </c>
      <c r="B324" s="31" t="s">
        <v>273</v>
      </c>
      <c r="C324" s="31" t="s">
        <v>259</v>
      </c>
      <c r="D324" s="31" t="s">
        <v>282</v>
      </c>
      <c r="E324" s="38">
        <v>41910</v>
      </c>
      <c r="F324" s="35">
        <v>7</v>
      </c>
      <c r="G324" s="35">
        <v>2134</v>
      </c>
      <c r="H324" s="46"/>
      <c r="I324" s="47"/>
    </row>
    <row r="325" spans="1:9" x14ac:dyDescent="0.25">
      <c r="A325" s="31" t="s">
        <v>265</v>
      </c>
      <c r="B325" s="31" t="s">
        <v>273</v>
      </c>
      <c r="C325" s="31" t="s">
        <v>257</v>
      </c>
      <c r="D325" s="31" t="s">
        <v>269</v>
      </c>
      <c r="E325" s="38">
        <v>41913</v>
      </c>
      <c r="F325" s="35">
        <v>19</v>
      </c>
      <c r="G325" s="35">
        <v>8751</v>
      </c>
      <c r="H325" s="46"/>
      <c r="I325" s="47"/>
    </row>
    <row r="326" spans="1:9" x14ac:dyDescent="0.25">
      <c r="A326" s="31" t="s">
        <v>272</v>
      </c>
      <c r="B326" s="31" t="s">
        <v>262</v>
      </c>
      <c r="C326" s="31" t="s">
        <v>260</v>
      </c>
      <c r="D326" s="31" t="s">
        <v>263</v>
      </c>
      <c r="E326" s="38">
        <v>41914</v>
      </c>
      <c r="F326" s="35">
        <v>8</v>
      </c>
      <c r="G326" s="35">
        <v>2365</v>
      </c>
      <c r="H326" s="46"/>
      <c r="I326" s="47"/>
    </row>
    <row r="327" spans="1:9" x14ac:dyDescent="0.25">
      <c r="A327" s="31" t="s">
        <v>281</v>
      </c>
      <c r="B327" s="31" t="s">
        <v>278</v>
      </c>
      <c r="C327" s="31" t="s">
        <v>257</v>
      </c>
      <c r="D327" s="31" t="s">
        <v>267</v>
      </c>
      <c r="E327" s="38">
        <v>41914</v>
      </c>
      <c r="F327" s="35">
        <v>5</v>
      </c>
      <c r="G327" s="35">
        <v>2558</v>
      </c>
      <c r="H327" s="46"/>
      <c r="I327" s="47"/>
    </row>
    <row r="328" spans="1:9" x14ac:dyDescent="0.25">
      <c r="A328" s="31" t="s">
        <v>274</v>
      </c>
      <c r="B328" s="31" t="s">
        <v>271</v>
      </c>
      <c r="C328" s="31" t="s">
        <v>258</v>
      </c>
      <c r="D328" s="31" t="s">
        <v>263</v>
      </c>
      <c r="E328" s="38">
        <v>41914</v>
      </c>
      <c r="F328" s="35">
        <v>7</v>
      </c>
      <c r="G328" s="35">
        <v>3344</v>
      </c>
      <c r="H328" s="46"/>
      <c r="I328" s="47"/>
    </row>
    <row r="329" spans="1:9" x14ac:dyDescent="0.25">
      <c r="A329" s="31" t="s">
        <v>265</v>
      </c>
      <c r="B329" s="31" t="s">
        <v>262</v>
      </c>
      <c r="C329" s="31" t="s">
        <v>258</v>
      </c>
      <c r="D329" s="31" t="s">
        <v>282</v>
      </c>
      <c r="E329" s="38">
        <v>41914</v>
      </c>
      <c r="F329" s="35">
        <v>16</v>
      </c>
      <c r="G329" s="35">
        <v>5973</v>
      </c>
      <c r="H329" s="46"/>
      <c r="I329" s="47"/>
    </row>
    <row r="330" spans="1:9" x14ac:dyDescent="0.25">
      <c r="A330" s="31" t="s">
        <v>279</v>
      </c>
      <c r="B330" s="31" t="s">
        <v>271</v>
      </c>
      <c r="C330" s="31" t="s">
        <v>259</v>
      </c>
      <c r="D330" s="31" t="s">
        <v>275</v>
      </c>
      <c r="E330" s="38">
        <v>41914</v>
      </c>
      <c r="F330" s="35">
        <v>2</v>
      </c>
      <c r="G330" s="35">
        <v>649</v>
      </c>
      <c r="H330" s="46"/>
      <c r="I330" s="47"/>
    </row>
    <row r="331" spans="1:9" x14ac:dyDescent="0.25">
      <c r="A331" s="31" t="s">
        <v>264</v>
      </c>
      <c r="B331" s="31" t="s">
        <v>273</v>
      </c>
      <c r="C331" s="31" t="s">
        <v>258</v>
      </c>
      <c r="D331" s="31" t="s">
        <v>282</v>
      </c>
      <c r="E331" s="38">
        <v>41914</v>
      </c>
      <c r="F331" s="35">
        <v>5</v>
      </c>
      <c r="G331" s="35">
        <v>1975</v>
      </c>
      <c r="H331" s="46"/>
      <c r="I331" s="47"/>
    </row>
    <row r="332" spans="1:9" x14ac:dyDescent="0.25">
      <c r="A332" s="31" t="s">
        <v>261</v>
      </c>
      <c r="B332" s="31" t="s">
        <v>262</v>
      </c>
      <c r="C332" s="31" t="s">
        <v>260</v>
      </c>
      <c r="D332" s="31" t="s">
        <v>263</v>
      </c>
      <c r="E332" s="38">
        <v>41917</v>
      </c>
      <c r="F332" s="35">
        <v>13</v>
      </c>
      <c r="G332" s="35">
        <v>4620</v>
      </c>
      <c r="H332" s="46"/>
      <c r="I332" s="47"/>
    </row>
    <row r="333" spans="1:9" x14ac:dyDescent="0.25">
      <c r="A333" s="31" t="s">
        <v>268</v>
      </c>
      <c r="B333" s="31" t="s">
        <v>278</v>
      </c>
      <c r="C333" s="31" t="s">
        <v>258</v>
      </c>
      <c r="D333" s="31" t="s">
        <v>267</v>
      </c>
      <c r="E333" s="38">
        <v>41920</v>
      </c>
      <c r="F333" s="35">
        <v>2</v>
      </c>
      <c r="G333" s="35">
        <v>451</v>
      </c>
      <c r="H333" s="46"/>
      <c r="I333" s="47"/>
    </row>
    <row r="334" spans="1:9" x14ac:dyDescent="0.25">
      <c r="A334" s="31" t="s">
        <v>265</v>
      </c>
      <c r="B334" s="31" t="s">
        <v>278</v>
      </c>
      <c r="C334" s="31" t="s">
        <v>260</v>
      </c>
      <c r="D334" s="31" t="s">
        <v>275</v>
      </c>
      <c r="E334" s="38">
        <v>41921</v>
      </c>
      <c r="F334" s="35">
        <v>3</v>
      </c>
      <c r="G334" s="35">
        <v>704</v>
      </c>
      <c r="H334" s="46"/>
      <c r="I334" s="47"/>
    </row>
    <row r="335" spans="1:9" x14ac:dyDescent="0.25">
      <c r="A335" s="31" t="s">
        <v>265</v>
      </c>
      <c r="B335" s="31" t="s">
        <v>271</v>
      </c>
      <c r="C335" s="31" t="s">
        <v>259</v>
      </c>
      <c r="D335" s="31" t="s">
        <v>269</v>
      </c>
      <c r="E335" s="38">
        <v>41921</v>
      </c>
      <c r="F335" s="35">
        <v>14</v>
      </c>
      <c r="G335" s="35">
        <v>4433</v>
      </c>
      <c r="H335" s="46"/>
      <c r="I335" s="47"/>
    </row>
    <row r="336" spans="1:9" x14ac:dyDescent="0.25">
      <c r="A336" s="31" t="s">
        <v>274</v>
      </c>
      <c r="B336" s="31" t="s">
        <v>278</v>
      </c>
      <c r="C336" s="31" t="s">
        <v>257</v>
      </c>
      <c r="D336" s="31" t="s">
        <v>282</v>
      </c>
      <c r="E336" s="38">
        <v>41922</v>
      </c>
      <c r="F336" s="35">
        <v>2</v>
      </c>
      <c r="G336" s="35">
        <v>534</v>
      </c>
      <c r="H336" s="46"/>
      <c r="I336" s="47"/>
    </row>
    <row r="337" spans="1:9" x14ac:dyDescent="0.25">
      <c r="A337" s="31" t="s">
        <v>265</v>
      </c>
      <c r="B337" s="31" t="s">
        <v>271</v>
      </c>
      <c r="C337" s="31" t="s">
        <v>259</v>
      </c>
      <c r="D337" s="31" t="s">
        <v>282</v>
      </c>
      <c r="E337" s="38">
        <v>41922</v>
      </c>
      <c r="F337" s="35">
        <v>4</v>
      </c>
      <c r="G337" s="35">
        <v>1144</v>
      </c>
      <c r="H337" s="46"/>
      <c r="I337" s="47"/>
    </row>
    <row r="338" spans="1:9" x14ac:dyDescent="0.25">
      <c r="A338" s="31" t="s">
        <v>265</v>
      </c>
      <c r="B338" s="31" t="s">
        <v>278</v>
      </c>
      <c r="C338" s="31" t="s">
        <v>258</v>
      </c>
      <c r="D338" s="31" t="s">
        <v>267</v>
      </c>
      <c r="E338" s="38">
        <v>41922</v>
      </c>
      <c r="F338" s="35">
        <v>5</v>
      </c>
      <c r="G338" s="35">
        <v>2563</v>
      </c>
      <c r="H338" s="46"/>
      <c r="I338" s="47"/>
    </row>
    <row r="339" spans="1:9" x14ac:dyDescent="0.25">
      <c r="A339" s="31" t="s">
        <v>274</v>
      </c>
      <c r="B339" s="31" t="s">
        <v>273</v>
      </c>
      <c r="C339" s="31" t="s">
        <v>260</v>
      </c>
      <c r="D339" s="31" t="s">
        <v>267</v>
      </c>
      <c r="E339" s="38">
        <v>41927</v>
      </c>
      <c r="F339" s="35">
        <v>8</v>
      </c>
      <c r="G339" s="35">
        <v>3240</v>
      </c>
      <c r="H339" s="46"/>
      <c r="I339" s="47"/>
    </row>
    <row r="340" spans="1:9" x14ac:dyDescent="0.25">
      <c r="A340" s="31" t="s">
        <v>272</v>
      </c>
      <c r="B340" s="31" t="s">
        <v>273</v>
      </c>
      <c r="C340" s="31" t="s">
        <v>257</v>
      </c>
      <c r="D340" s="31" t="s">
        <v>282</v>
      </c>
      <c r="E340" s="38">
        <v>41928</v>
      </c>
      <c r="F340" s="35">
        <v>3</v>
      </c>
      <c r="G340" s="35">
        <v>924</v>
      </c>
      <c r="H340" s="46"/>
      <c r="I340" s="47"/>
    </row>
    <row r="341" spans="1:9" x14ac:dyDescent="0.25">
      <c r="A341" s="31" t="s">
        <v>270</v>
      </c>
      <c r="B341" s="31" t="s">
        <v>266</v>
      </c>
      <c r="C341" s="31" t="s">
        <v>260</v>
      </c>
      <c r="D341" s="31" t="s">
        <v>267</v>
      </c>
      <c r="E341" s="38">
        <v>41928</v>
      </c>
      <c r="F341" s="35">
        <v>14</v>
      </c>
      <c r="G341" s="35">
        <v>4505</v>
      </c>
      <c r="H341" s="46"/>
      <c r="I341" s="47"/>
    </row>
    <row r="342" spans="1:9" x14ac:dyDescent="0.25">
      <c r="A342" s="31" t="s">
        <v>281</v>
      </c>
      <c r="B342" s="31" t="s">
        <v>271</v>
      </c>
      <c r="C342" s="31" t="s">
        <v>257</v>
      </c>
      <c r="D342" s="31" t="s">
        <v>263</v>
      </c>
      <c r="E342" s="38">
        <v>41928</v>
      </c>
      <c r="F342" s="35">
        <v>3</v>
      </c>
      <c r="G342" s="35">
        <v>1122</v>
      </c>
      <c r="H342" s="46"/>
      <c r="I342" s="47"/>
    </row>
    <row r="343" spans="1:9" x14ac:dyDescent="0.25">
      <c r="A343" s="31" t="s">
        <v>281</v>
      </c>
      <c r="B343" s="31" t="s">
        <v>262</v>
      </c>
      <c r="C343" s="31" t="s">
        <v>260</v>
      </c>
      <c r="D343" s="31" t="s">
        <v>267</v>
      </c>
      <c r="E343" s="38">
        <v>41928</v>
      </c>
      <c r="F343" s="35">
        <v>7</v>
      </c>
      <c r="G343" s="35">
        <v>3042</v>
      </c>
      <c r="H343" s="46"/>
      <c r="I343" s="47"/>
    </row>
    <row r="344" spans="1:9" x14ac:dyDescent="0.25">
      <c r="A344" s="31" t="s">
        <v>274</v>
      </c>
      <c r="B344" s="31" t="s">
        <v>271</v>
      </c>
      <c r="C344" s="31" t="s">
        <v>259</v>
      </c>
      <c r="D344" s="31" t="s">
        <v>267</v>
      </c>
      <c r="E344" s="38">
        <v>41928</v>
      </c>
      <c r="F344" s="35">
        <v>8</v>
      </c>
      <c r="G344" s="35">
        <v>4026</v>
      </c>
      <c r="H344" s="46"/>
      <c r="I344" s="47"/>
    </row>
    <row r="345" spans="1:9" x14ac:dyDescent="0.25">
      <c r="A345" s="31" t="s">
        <v>276</v>
      </c>
      <c r="B345" s="31" t="s">
        <v>266</v>
      </c>
      <c r="C345" s="31" t="s">
        <v>260</v>
      </c>
      <c r="D345" s="31" t="s">
        <v>275</v>
      </c>
      <c r="E345" s="38">
        <v>41928</v>
      </c>
      <c r="F345" s="35">
        <v>6</v>
      </c>
      <c r="G345" s="35">
        <v>1793</v>
      </c>
      <c r="H345" s="46"/>
      <c r="I345" s="47"/>
    </row>
    <row r="346" spans="1:9" x14ac:dyDescent="0.25">
      <c r="A346" s="31" t="s">
        <v>281</v>
      </c>
      <c r="B346" s="31" t="s">
        <v>278</v>
      </c>
      <c r="C346" s="31" t="s">
        <v>260</v>
      </c>
      <c r="D346" s="31" t="s">
        <v>263</v>
      </c>
      <c r="E346" s="38">
        <v>41929</v>
      </c>
      <c r="F346" s="35">
        <v>13</v>
      </c>
      <c r="G346" s="35">
        <v>7601</v>
      </c>
      <c r="H346" s="46"/>
      <c r="I346" s="47"/>
    </row>
    <row r="347" spans="1:9" x14ac:dyDescent="0.25">
      <c r="A347" s="31" t="s">
        <v>276</v>
      </c>
      <c r="B347" s="31" t="s">
        <v>262</v>
      </c>
      <c r="C347" s="31" t="s">
        <v>260</v>
      </c>
      <c r="D347" s="31" t="s">
        <v>275</v>
      </c>
      <c r="E347" s="38">
        <v>41931</v>
      </c>
      <c r="F347" s="35">
        <v>6</v>
      </c>
      <c r="G347" s="35">
        <v>1980</v>
      </c>
      <c r="H347" s="46"/>
      <c r="I347" s="47"/>
    </row>
    <row r="348" spans="1:9" x14ac:dyDescent="0.25">
      <c r="A348" s="31" t="s">
        <v>277</v>
      </c>
      <c r="B348" s="31" t="s">
        <v>266</v>
      </c>
      <c r="C348" s="31" t="s">
        <v>260</v>
      </c>
      <c r="D348" s="31" t="s">
        <v>267</v>
      </c>
      <c r="E348" s="38">
        <v>41931</v>
      </c>
      <c r="F348" s="35">
        <v>3</v>
      </c>
      <c r="G348" s="35">
        <v>1012</v>
      </c>
      <c r="H348" s="46"/>
      <c r="I348" s="47"/>
    </row>
    <row r="349" spans="1:9" x14ac:dyDescent="0.25">
      <c r="A349" s="31" t="s">
        <v>274</v>
      </c>
      <c r="B349" s="31" t="s">
        <v>278</v>
      </c>
      <c r="C349" s="31" t="s">
        <v>259</v>
      </c>
      <c r="D349" s="31" t="s">
        <v>267</v>
      </c>
      <c r="E349" s="38">
        <v>41931</v>
      </c>
      <c r="F349" s="35">
        <v>13</v>
      </c>
      <c r="G349" s="35">
        <v>7337</v>
      </c>
      <c r="H349" s="46"/>
      <c r="I349" s="47"/>
    </row>
    <row r="350" spans="1:9" x14ac:dyDescent="0.25">
      <c r="A350" s="31" t="s">
        <v>276</v>
      </c>
      <c r="B350" s="31" t="s">
        <v>271</v>
      </c>
      <c r="C350" s="31" t="s">
        <v>260</v>
      </c>
      <c r="D350" s="31" t="s">
        <v>282</v>
      </c>
      <c r="E350" s="38">
        <v>41931</v>
      </c>
      <c r="F350" s="35">
        <v>9</v>
      </c>
      <c r="G350" s="35">
        <v>3724</v>
      </c>
      <c r="H350" s="46"/>
      <c r="I350" s="47"/>
    </row>
    <row r="351" spans="1:9" x14ac:dyDescent="0.25">
      <c r="A351" s="31" t="s">
        <v>264</v>
      </c>
      <c r="B351" s="31" t="s">
        <v>271</v>
      </c>
      <c r="C351" s="31" t="s">
        <v>258</v>
      </c>
      <c r="D351" s="31" t="s">
        <v>267</v>
      </c>
      <c r="E351" s="38">
        <v>41932</v>
      </c>
      <c r="F351" s="35">
        <v>5</v>
      </c>
      <c r="G351" s="35">
        <v>2519</v>
      </c>
      <c r="H351" s="46"/>
      <c r="I351" s="47"/>
    </row>
    <row r="352" spans="1:9" x14ac:dyDescent="0.25">
      <c r="A352" s="31" t="s">
        <v>261</v>
      </c>
      <c r="B352" s="31" t="s">
        <v>262</v>
      </c>
      <c r="C352" s="31" t="s">
        <v>258</v>
      </c>
      <c r="D352" s="31" t="s">
        <v>282</v>
      </c>
      <c r="E352" s="38">
        <v>41934</v>
      </c>
      <c r="F352" s="35">
        <v>3</v>
      </c>
      <c r="G352" s="35">
        <v>759</v>
      </c>
      <c r="H352" s="46"/>
      <c r="I352" s="47"/>
    </row>
    <row r="353" spans="1:9" x14ac:dyDescent="0.25">
      <c r="A353" s="31" t="s">
        <v>272</v>
      </c>
      <c r="B353" s="31" t="s">
        <v>262</v>
      </c>
      <c r="C353" s="31" t="s">
        <v>260</v>
      </c>
      <c r="D353" s="31" t="s">
        <v>263</v>
      </c>
      <c r="E353" s="38">
        <v>41934</v>
      </c>
      <c r="F353" s="35">
        <v>6</v>
      </c>
      <c r="G353" s="35">
        <v>2794</v>
      </c>
      <c r="H353" s="46"/>
      <c r="I353" s="47"/>
    </row>
    <row r="354" spans="1:9" x14ac:dyDescent="0.25">
      <c r="A354" s="31" t="s">
        <v>276</v>
      </c>
      <c r="B354" s="31" t="s">
        <v>273</v>
      </c>
      <c r="C354" s="31" t="s">
        <v>259</v>
      </c>
      <c r="D354" s="31" t="s">
        <v>275</v>
      </c>
      <c r="E354" s="38">
        <v>41935</v>
      </c>
      <c r="F354" s="35">
        <v>16</v>
      </c>
      <c r="G354" s="35">
        <v>5264</v>
      </c>
      <c r="H354" s="46"/>
      <c r="I354" s="47"/>
    </row>
    <row r="355" spans="1:9" x14ac:dyDescent="0.25">
      <c r="A355" s="31" t="s">
        <v>276</v>
      </c>
      <c r="B355" s="31" t="s">
        <v>273</v>
      </c>
      <c r="C355" s="31" t="s">
        <v>260</v>
      </c>
      <c r="D355" s="31" t="s">
        <v>275</v>
      </c>
      <c r="E355" s="38">
        <v>41935</v>
      </c>
      <c r="F355" s="35">
        <v>13</v>
      </c>
      <c r="G355" s="35">
        <v>6364</v>
      </c>
      <c r="H355" s="46"/>
      <c r="I355" s="47"/>
    </row>
    <row r="356" spans="1:9" x14ac:dyDescent="0.25">
      <c r="A356" s="31" t="s">
        <v>261</v>
      </c>
      <c r="B356" s="31" t="s">
        <v>266</v>
      </c>
      <c r="C356" s="31" t="s">
        <v>258</v>
      </c>
      <c r="D356" s="31" t="s">
        <v>267</v>
      </c>
      <c r="E356" s="38">
        <v>41936</v>
      </c>
      <c r="F356" s="35">
        <v>10</v>
      </c>
      <c r="G356" s="35">
        <v>3394</v>
      </c>
      <c r="H356" s="46"/>
      <c r="I356" s="47"/>
    </row>
    <row r="357" spans="1:9" x14ac:dyDescent="0.25">
      <c r="A357" s="31" t="s">
        <v>261</v>
      </c>
      <c r="B357" s="31" t="s">
        <v>262</v>
      </c>
      <c r="C357" s="31" t="s">
        <v>260</v>
      </c>
      <c r="D357" s="31" t="s">
        <v>263</v>
      </c>
      <c r="E357" s="38">
        <v>41936</v>
      </c>
      <c r="F357" s="35">
        <v>6</v>
      </c>
      <c r="G357" s="35">
        <v>2569</v>
      </c>
      <c r="H357" s="46"/>
      <c r="I357" s="47"/>
    </row>
    <row r="358" spans="1:9" x14ac:dyDescent="0.25">
      <c r="A358" s="31" t="s">
        <v>277</v>
      </c>
      <c r="B358" s="31" t="s">
        <v>271</v>
      </c>
      <c r="C358" s="31" t="s">
        <v>260</v>
      </c>
      <c r="D358" s="31" t="s">
        <v>263</v>
      </c>
      <c r="E358" s="38">
        <v>41937</v>
      </c>
      <c r="F358" s="35">
        <v>16</v>
      </c>
      <c r="G358" s="35">
        <v>5478</v>
      </c>
      <c r="H358" s="46"/>
      <c r="I358" s="47"/>
    </row>
    <row r="359" spans="1:9" x14ac:dyDescent="0.25">
      <c r="A359" s="31" t="s">
        <v>279</v>
      </c>
      <c r="B359" s="31" t="s">
        <v>266</v>
      </c>
      <c r="C359" s="31" t="s">
        <v>258</v>
      </c>
      <c r="D359" s="31" t="s">
        <v>267</v>
      </c>
      <c r="E359" s="38">
        <v>41937</v>
      </c>
      <c r="F359" s="35">
        <v>5</v>
      </c>
      <c r="G359" s="35">
        <v>1320</v>
      </c>
      <c r="H359" s="46"/>
      <c r="I359" s="47"/>
    </row>
    <row r="360" spans="1:9" x14ac:dyDescent="0.25">
      <c r="A360" s="31" t="s">
        <v>279</v>
      </c>
      <c r="B360" s="31" t="s">
        <v>266</v>
      </c>
      <c r="C360" s="31" t="s">
        <v>259</v>
      </c>
      <c r="D360" s="31" t="s">
        <v>267</v>
      </c>
      <c r="E360" s="38">
        <v>41938</v>
      </c>
      <c r="F360" s="35">
        <v>11</v>
      </c>
      <c r="G360" s="35">
        <v>5577</v>
      </c>
      <c r="H360" s="46"/>
      <c r="I360" s="47"/>
    </row>
    <row r="361" spans="1:9" x14ac:dyDescent="0.25">
      <c r="A361" s="31" t="s">
        <v>274</v>
      </c>
      <c r="B361" s="31" t="s">
        <v>271</v>
      </c>
      <c r="C361" s="31" t="s">
        <v>260</v>
      </c>
      <c r="D361" s="31" t="s">
        <v>282</v>
      </c>
      <c r="E361" s="38">
        <v>41939</v>
      </c>
      <c r="F361" s="35">
        <v>3</v>
      </c>
      <c r="G361" s="35">
        <v>1254</v>
      </c>
      <c r="H361" s="46"/>
      <c r="I361" s="47"/>
    </row>
    <row r="362" spans="1:9" x14ac:dyDescent="0.25">
      <c r="A362" s="31" t="s">
        <v>281</v>
      </c>
      <c r="B362" s="31" t="s">
        <v>273</v>
      </c>
      <c r="C362" s="31" t="s">
        <v>257</v>
      </c>
      <c r="D362" s="31" t="s">
        <v>282</v>
      </c>
      <c r="E362" s="38">
        <v>41941</v>
      </c>
      <c r="F362" s="35">
        <v>3</v>
      </c>
      <c r="G362" s="35">
        <v>693</v>
      </c>
      <c r="H362" s="46"/>
      <c r="I362" s="47"/>
    </row>
    <row r="363" spans="1:9" x14ac:dyDescent="0.25">
      <c r="A363" s="31" t="s">
        <v>268</v>
      </c>
      <c r="B363" s="31" t="s">
        <v>273</v>
      </c>
      <c r="C363" s="31" t="s">
        <v>258</v>
      </c>
      <c r="D363" s="31" t="s">
        <v>269</v>
      </c>
      <c r="E363" s="38">
        <v>41941</v>
      </c>
      <c r="F363" s="35">
        <v>12</v>
      </c>
      <c r="G363" s="35">
        <v>6030</v>
      </c>
      <c r="H363" s="46"/>
      <c r="I363" s="47"/>
    </row>
    <row r="364" spans="1:9" x14ac:dyDescent="0.25">
      <c r="A364" s="31" t="s">
        <v>261</v>
      </c>
      <c r="B364" s="31" t="s">
        <v>262</v>
      </c>
      <c r="C364" s="31" t="s">
        <v>257</v>
      </c>
      <c r="D364" s="31" t="s">
        <v>263</v>
      </c>
      <c r="E364" s="38">
        <v>41942</v>
      </c>
      <c r="F364" s="35">
        <v>7</v>
      </c>
      <c r="G364" s="35">
        <v>2959</v>
      </c>
      <c r="H364" s="46"/>
      <c r="I364" s="47"/>
    </row>
    <row r="365" spans="1:9" x14ac:dyDescent="0.25">
      <c r="A365" s="31" t="s">
        <v>265</v>
      </c>
      <c r="B365" s="31" t="s">
        <v>266</v>
      </c>
      <c r="C365" s="31" t="s">
        <v>258</v>
      </c>
      <c r="D365" s="31" t="s">
        <v>263</v>
      </c>
      <c r="E365" s="38">
        <v>41942</v>
      </c>
      <c r="F365" s="35">
        <v>8</v>
      </c>
      <c r="G365" s="35">
        <v>4021</v>
      </c>
      <c r="H365" s="46"/>
      <c r="I365" s="47"/>
    </row>
    <row r="366" spans="1:9" x14ac:dyDescent="0.25">
      <c r="A366" s="31" t="s">
        <v>264</v>
      </c>
      <c r="B366" s="31" t="s">
        <v>278</v>
      </c>
      <c r="C366" s="31" t="s">
        <v>257</v>
      </c>
      <c r="D366" s="31" t="s">
        <v>269</v>
      </c>
      <c r="E366" s="38">
        <v>41945</v>
      </c>
      <c r="F366" s="35">
        <v>10</v>
      </c>
      <c r="G366" s="35">
        <v>3490</v>
      </c>
      <c r="H366" s="46"/>
      <c r="I366" s="47"/>
    </row>
    <row r="367" spans="1:9" x14ac:dyDescent="0.25">
      <c r="A367" s="31" t="s">
        <v>261</v>
      </c>
      <c r="B367" s="31" t="s">
        <v>273</v>
      </c>
      <c r="C367" s="31" t="s">
        <v>260</v>
      </c>
      <c r="D367" s="31" t="s">
        <v>282</v>
      </c>
      <c r="E367" s="38">
        <v>41945</v>
      </c>
      <c r="F367" s="35">
        <v>12</v>
      </c>
      <c r="G367" s="35">
        <v>5709</v>
      </c>
      <c r="H367" s="46"/>
      <c r="I367" s="47"/>
    </row>
    <row r="368" spans="1:9" x14ac:dyDescent="0.25">
      <c r="A368" s="31" t="s">
        <v>281</v>
      </c>
      <c r="B368" s="31" t="s">
        <v>273</v>
      </c>
      <c r="C368" s="31" t="s">
        <v>257</v>
      </c>
      <c r="D368" s="31" t="s">
        <v>269</v>
      </c>
      <c r="E368" s="38">
        <v>41949</v>
      </c>
      <c r="F368" s="35">
        <v>12</v>
      </c>
      <c r="G368" s="35">
        <v>6030</v>
      </c>
      <c r="H368" s="46"/>
      <c r="I368" s="47"/>
    </row>
    <row r="369" spans="1:9" x14ac:dyDescent="0.25">
      <c r="A369" s="31" t="s">
        <v>276</v>
      </c>
      <c r="B369" s="31" t="s">
        <v>262</v>
      </c>
      <c r="C369" s="31" t="s">
        <v>258</v>
      </c>
      <c r="D369" s="31" t="s">
        <v>269</v>
      </c>
      <c r="E369" s="38">
        <v>41949</v>
      </c>
      <c r="F369" s="35">
        <v>17</v>
      </c>
      <c r="G369" s="35">
        <v>9648</v>
      </c>
      <c r="H369" s="46"/>
      <c r="I369" s="47"/>
    </row>
    <row r="370" spans="1:9" x14ac:dyDescent="0.25">
      <c r="A370" s="31" t="s">
        <v>274</v>
      </c>
      <c r="B370" s="31" t="s">
        <v>271</v>
      </c>
      <c r="C370" s="31" t="s">
        <v>258</v>
      </c>
      <c r="D370" s="31" t="s">
        <v>282</v>
      </c>
      <c r="E370" s="38">
        <v>41949</v>
      </c>
      <c r="F370" s="35">
        <v>3</v>
      </c>
      <c r="G370" s="35">
        <v>979</v>
      </c>
      <c r="H370" s="46"/>
      <c r="I370" s="47"/>
    </row>
    <row r="371" spans="1:9" x14ac:dyDescent="0.25">
      <c r="A371" s="31" t="s">
        <v>279</v>
      </c>
      <c r="B371" s="31" t="s">
        <v>262</v>
      </c>
      <c r="C371" s="31" t="s">
        <v>257</v>
      </c>
      <c r="D371" s="31" t="s">
        <v>263</v>
      </c>
      <c r="E371" s="38">
        <v>41949</v>
      </c>
      <c r="F371" s="35">
        <v>5</v>
      </c>
      <c r="G371" s="35">
        <v>2387</v>
      </c>
      <c r="H371" s="46"/>
      <c r="I371" s="47"/>
    </row>
    <row r="372" spans="1:9" x14ac:dyDescent="0.25">
      <c r="A372" s="31" t="s">
        <v>264</v>
      </c>
      <c r="B372" s="31" t="s">
        <v>278</v>
      </c>
      <c r="C372" s="31" t="s">
        <v>260</v>
      </c>
      <c r="D372" s="31" t="s">
        <v>269</v>
      </c>
      <c r="E372" s="38">
        <v>41949</v>
      </c>
      <c r="F372" s="35">
        <v>11</v>
      </c>
      <c r="G372" s="35">
        <v>3597</v>
      </c>
      <c r="H372" s="46"/>
      <c r="I372" s="47"/>
    </row>
    <row r="373" spans="1:9" x14ac:dyDescent="0.25">
      <c r="A373" s="31" t="s">
        <v>279</v>
      </c>
      <c r="B373" s="31" t="s">
        <v>273</v>
      </c>
      <c r="C373" s="31" t="s">
        <v>258</v>
      </c>
      <c r="D373" s="31" t="s">
        <v>275</v>
      </c>
      <c r="E373" s="38">
        <v>41949</v>
      </c>
      <c r="F373" s="35">
        <v>2</v>
      </c>
      <c r="G373" s="35">
        <v>385</v>
      </c>
      <c r="H373" s="46"/>
      <c r="I373" s="47"/>
    </row>
    <row r="374" spans="1:9" x14ac:dyDescent="0.25">
      <c r="A374" s="31" t="s">
        <v>265</v>
      </c>
      <c r="B374" s="31" t="s">
        <v>278</v>
      </c>
      <c r="C374" s="31" t="s">
        <v>259</v>
      </c>
      <c r="D374" s="31" t="s">
        <v>267</v>
      </c>
      <c r="E374" s="38">
        <v>41949</v>
      </c>
      <c r="F374" s="35">
        <v>14</v>
      </c>
      <c r="G374" s="35">
        <v>5737</v>
      </c>
      <c r="H374" s="46"/>
      <c r="I374" s="47"/>
    </row>
    <row r="375" spans="1:9" x14ac:dyDescent="0.25">
      <c r="A375" s="31" t="s">
        <v>281</v>
      </c>
      <c r="B375" s="31" t="s">
        <v>266</v>
      </c>
      <c r="C375" s="31" t="s">
        <v>258</v>
      </c>
      <c r="D375" s="31" t="s">
        <v>282</v>
      </c>
      <c r="E375" s="38">
        <v>41952</v>
      </c>
      <c r="F375" s="35">
        <v>4</v>
      </c>
      <c r="G375" s="35">
        <v>1447</v>
      </c>
      <c r="H375" s="46"/>
      <c r="I375" s="47"/>
    </row>
    <row r="376" spans="1:9" x14ac:dyDescent="0.25">
      <c r="A376" s="31" t="s">
        <v>280</v>
      </c>
      <c r="B376" s="31" t="s">
        <v>273</v>
      </c>
      <c r="C376" s="31" t="s">
        <v>258</v>
      </c>
      <c r="D376" s="31" t="s">
        <v>269</v>
      </c>
      <c r="E376" s="38">
        <v>41953</v>
      </c>
      <c r="F376" s="35">
        <v>16</v>
      </c>
      <c r="G376" s="35">
        <v>6138</v>
      </c>
      <c r="H376" s="46"/>
      <c r="I376" s="47"/>
    </row>
    <row r="377" spans="1:9" x14ac:dyDescent="0.25">
      <c r="A377" s="31" t="s">
        <v>268</v>
      </c>
      <c r="B377" s="31" t="s">
        <v>278</v>
      </c>
      <c r="C377" s="31" t="s">
        <v>257</v>
      </c>
      <c r="D377" s="31" t="s">
        <v>267</v>
      </c>
      <c r="E377" s="38">
        <v>41956</v>
      </c>
      <c r="F377" s="35">
        <v>9</v>
      </c>
      <c r="G377" s="35">
        <v>4681</v>
      </c>
      <c r="H377" s="46"/>
      <c r="I377" s="47"/>
    </row>
    <row r="378" spans="1:9" x14ac:dyDescent="0.25">
      <c r="A378" s="31" t="s">
        <v>277</v>
      </c>
      <c r="B378" s="31" t="s">
        <v>262</v>
      </c>
      <c r="C378" s="31" t="s">
        <v>259</v>
      </c>
      <c r="D378" s="31" t="s">
        <v>282</v>
      </c>
      <c r="E378" s="38">
        <v>41956</v>
      </c>
      <c r="F378" s="35">
        <v>10</v>
      </c>
      <c r="G378" s="35">
        <v>3801</v>
      </c>
      <c r="H378" s="46"/>
      <c r="I378" s="47"/>
    </row>
    <row r="379" spans="1:9" x14ac:dyDescent="0.25">
      <c r="A379" s="31" t="s">
        <v>274</v>
      </c>
      <c r="B379" s="31" t="s">
        <v>278</v>
      </c>
      <c r="C379" s="31" t="s">
        <v>258</v>
      </c>
      <c r="D379" s="31" t="s">
        <v>269</v>
      </c>
      <c r="E379" s="38">
        <v>41956</v>
      </c>
      <c r="F379" s="35">
        <v>14</v>
      </c>
      <c r="G379" s="35">
        <v>6060</v>
      </c>
      <c r="H379" s="46"/>
      <c r="I379" s="47"/>
    </row>
    <row r="380" spans="1:9" x14ac:dyDescent="0.25">
      <c r="A380" s="31" t="s">
        <v>279</v>
      </c>
      <c r="B380" s="31" t="s">
        <v>278</v>
      </c>
      <c r="C380" s="31" t="s">
        <v>259</v>
      </c>
      <c r="D380" s="31" t="s">
        <v>263</v>
      </c>
      <c r="E380" s="38">
        <v>41956</v>
      </c>
      <c r="F380" s="35">
        <v>11</v>
      </c>
      <c r="G380" s="35">
        <v>5225</v>
      </c>
      <c r="H380" s="46"/>
      <c r="I380" s="47"/>
    </row>
    <row r="381" spans="1:9" x14ac:dyDescent="0.25">
      <c r="A381" s="31" t="s">
        <v>280</v>
      </c>
      <c r="B381" s="31" t="s">
        <v>262</v>
      </c>
      <c r="C381" s="31" t="s">
        <v>259</v>
      </c>
      <c r="D381" s="31" t="s">
        <v>282</v>
      </c>
      <c r="E381" s="38">
        <v>41956</v>
      </c>
      <c r="F381" s="35">
        <v>11</v>
      </c>
      <c r="G381" s="35">
        <v>4202</v>
      </c>
      <c r="H381" s="46"/>
      <c r="I381" s="47"/>
    </row>
    <row r="382" spans="1:9" x14ac:dyDescent="0.25">
      <c r="A382" s="31" t="s">
        <v>265</v>
      </c>
      <c r="B382" s="31" t="s">
        <v>271</v>
      </c>
      <c r="C382" s="31" t="s">
        <v>260</v>
      </c>
      <c r="D382" s="31" t="s">
        <v>263</v>
      </c>
      <c r="E382" s="38">
        <v>41956</v>
      </c>
      <c r="F382" s="35">
        <v>4</v>
      </c>
      <c r="G382" s="35">
        <v>1139</v>
      </c>
      <c r="H382" s="46"/>
      <c r="I382" s="47"/>
    </row>
    <row r="383" spans="1:9" x14ac:dyDescent="0.25">
      <c r="A383" s="31" t="s">
        <v>261</v>
      </c>
      <c r="B383" s="31" t="s">
        <v>273</v>
      </c>
      <c r="C383" s="31" t="s">
        <v>258</v>
      </c>
      <c r="D383" s="31" t="s">
        <v>282</v>
      </c>
      <c r="E383" s="38">
        <v>41956</v>
      </c>
      <c r="F383" s="35">
        <v>6</v>
      </c>
      <c r="G383" s="35">
        <v>2822</v>
      </c>
      <c r="H383" s="46"/>
      <c r="I383" s="47"/>
    </row>
    <row r="384" spans="1:9" x14ac:dyDescent="0.25">
      <c r="A384" s="31" t="s">
        <v>277</v>
      </c>
      <c r="B384" s="31" t="s">
        <v>273</v>
      </c>
      <c r="C384" s="31" t="s">
        <v>260</v>
      </c>
      <c r="D384" s="31" t="s">
        <v>267</v>
      </c>
      <c r="E384" s="38">
        <v>41957</v>
      </c>
      <c r="F384" s="35">
        <v>5</v>
      </c>
      <c r="G384" s="35">
        <v>2206</v>
      </c>
      <c r="H384" s="46"/>
      <c r="I384" s="47"/>
    </row>
    <row r="385" spans="1:9" x14ac:dyDescent="0.25">
      <c r="A385" s="31" t="s">
        <v>277</v>
      </c>
      <c r="B385" s="31" t="s">
        <v>271</v>
      </c>
      <c r="C385" s="31" t="s">
        <v>257</v>
      </c>
      <c r="D385" s="31" t="s">
        <v>282</v>
      </c>
      <c r="E385" s="38">
        <v>41957</v>
      </c>
      <c r="F385" s="35">
        <v>8</v>
      </c>
      <c r="G385" s="35">
        <v>4241</v>
      </c>
      <c r="H385" s="46"/>
      <c r="I385" s="47"/>
    </row>
    <row r="386" spans="1:9" x14ac:dyDescent="0.25">
      <c r="A386" s="31" t="s">
        <v>264</v>
      </c>
      <c r="B386" s="31" t="s">
        <v>266</v>
      </c>
      <c r="C386" s="31" t="s">
        <v>257</v>
      </c>
      <c r="D386" s="31" t="s">
        <v>275</v>
      </c>
      <c r="E386" s="38">
        <v>41957</v>
      </c>
      <c r="F386" s="35">
        <v>6</v>
      </c>
      <c r="G386" s="35">
        <v>2145</v>
      </c>
      <c r="H386" s="46"/>
      <c r="I386" s="47"/>
    </row>
    <row r="387" spans="1:9" x14ac:dyDescent="0.25">
      <c r="A387" s="31" t="s">
        <v>281</v>
      </c>
      <c r="B387" s="31" t="s">
        <v>278</v>
      </c>
      <c r="C387" s="31" t="s">
        <v>258</v>
      </c>
      <c r="D387" s="31" t="s">
        <v>282</v>
      </c>
      <c r="E387" s="38">
        <v>41959</v>
      </c>
      <c r="F387" s="35">
        <v>12</v>
      </c>
      <c r="G387" s="35">
        <v>6595</v>
      </c>
      <c r="H387" s="46"/>
      <c r="I387" s="47"/>
    </row>
    <row r="388" spans="1:9" x14ac:dyDescent="0.25">
      <c r="A388" s="31" t="s">
        <v>276</v>
      </c>
      <c r="B388" s="31" t="s">
        <v>273</v>
      </c>
      <c r="C388" s="31" t="s">
        <v>257</v>
      </c>
      <c r="D388" s="31" t="s">
        <v>263</v>
      </c>
      <c r="E388" s="38">
        <v>41959</v>
      </c>
      <c r="F388" s="35">
        <v>4</v>
      </c>
      <c r="G388" s="35">
        <v>1205</v>
      </c>
      <c r="H388" s="46"/>
      <c r="I388" s="47"/>
    </row>
    <row r="389" spans="1:9" x14ac:dyDescent="0.25">
      <c r="A389" s="31" t="s">
        <v>261</v>
      </c>
      <c r="B389" s="31" t="s">
        <v>262</v>
      </c>
      <c r="C389" s="31" t="s">
        <v>257</v>
      </c>
      <c r="D389" s="31" t="s">
        <v>269</v>
      </c>
      <c r="E389" s="38">
        <v>41959</v>
      </c>
      <c r="F389" s="35">
        <v>9</v>
      </c>
      <c r="G389" s="35">
        <v>4034</v>
      </c>
      <c r="H389" s="46"/>
      <c r="I389" s="47"/>
    </row>
    <row r="390" spans="1:9" x14ac:dyDescent="0.25">
      <c r="A390" s="31" t="s">
        <v>280</v>
      </c>
      <c r="B390" s="31" t="s">
        <v>262</v>
      </c>
      <c r="C390" s="31" t="s">
        <v>259</v>
      </c>
      <c r="D390" s="31" t="s">
        <v>263</v>
      </c>
      <c r="E390" s="38">
        <v>41959</v>
      </c>
      <c r="F390" s="35">
        <v>16</v>
      </c>
      <c r="G390" s="35">
        <v>8597</v>
      </c>
      <c r="H390" s="46"/>
      <c r="I390" s="47"/>
    </row>
    <row r="391" spans="1:9" x14ac:dyDescent="0.25">
      <c r="A391" s="31" t="s">
        <v>268</v>
      </c>
      <c r="B391" s="31" t="s">
        <v>271</v>
      </c>
      <c r="C391" s="31" t="s">
        <v>259</v>
      </c>
      <c r="D391" s="31" t="s">
        <v>263</v>
      </c>
      <c r="E391" s="38">
        <v>41959</v>
      </c>
      <c r="F391" s="35">
        <v>9</v>
      </c>
      <c r="G391" s="35">
        <v>2739</v>
      </c>
      <c r="H391" s="46"/>
      <c r="I391" s="47"/>
    </row>
    <row r="392" spans="1:9" x14ac:dyDescent="0.25">
      <c r="A392" s="31" t="s">
        <v>268</v>
      </c>
      <c r="B392" s="31" t="s">
        <v>271</v>
      </c>
      <c r="C392" s="31" t="s">
        <v>259</v>
      </c>
      <c r="D392" s="31" t="s">
        <v>263</v>
      </c>
      <c r="E392" s="38">
        <v>41960</v>
      </c>
      <c r="F392" s="35">
        <v>16</v>
      </c>
      <c r="G392" s="35">
        <v>8498</v>
      </c>
      <c r="H392" s="46"/>
      <c r="I392" s="47"/>
    </row>
    <row r="393" spans="1:9" x14ac:dyDescent="0.25">
      <c r="A393" s="31" t="s">
        <v>274</v>
      </c>
      <c r="B393" s="31" t="s">
        <v>278</v>
      </c>
      <c r="C393" s="31" t="s">
        <v>258</v>
      </c>
      <c r="D393" s="31" t="s">
        <v>275</v>
      </c>
      <c r="E393" s="38">
        <v>41960</v>
      </c>
      <c r="F393" s="35">
        <v>5</v>
      </c>
      <c r="G393" s="35">
        <v>1738</v>
      </c>
      <c r="H393" s="46"/>
      <c r="I393" s="47"/>
    </row>
    <row r="394" spans="1:9" x14ac:dyDescent="0.25">
      <c r="A394" s="31" t="s">
        <v>264</v>
      </c>
      <c r="B394" s="31" t="s">
        <v>271</v>
      </c>
      <c r="C394" s="31" t="s">
        <v>258</v>
      </c>
      <c r="D394" s="31" t="s">
        <v>269</v>
      </c>
      <c r="E394" s="38">
        <v>41960</v>
      </c>
      <c r="F394" s="35">
        <v>15</v>
      </c>
      <c r="G394" s="35">
        <v>5793</v>
      </c>
      <c r="H394" s="46"/>
      <c r="I394" s="47"/>
    </row>
    <row r="395" spans="1:9" x14ac:dyDescent="0.25">
      <c r="A395" s="31" t="s">
        <v>272</v>
      </c>
      <c r="B395" s="31" t="s">
        <v>271</v>
      </c>
      <c r="C395" s="31" t="s">
        <v>259</v>
      </c>
      <c r="D395" s="31" t="s">
        <v>269</v>
      </c>
      <c r="E395" s="38">
        <v>41960</v>
      </c>
      <c r="F395" s="35">
        <v>20</v>
      </c>
      <c r="G395" s="35">
        <v>12063</v>
      </c>
      <c r="H395" s="46"/>
      <c r="I395" s="47"/>
    </row>
    <row r="396" spans="1:9" x14ac:dyDescent="0.25">
      <c r="A396" s="31" t="s">
        <v>265</v>
      </c>
      <c r="B396" s="31" t="s">
        <v>271</v>
      </c>
      <c r="C396" s="31" t="s">
        <v>258</v>
      </c>
      <c r="D396" s="31" t="s">
        <v>269</v>
      </c>
      <c r="E396" s="38">
        <v>41962</v>
      </c>
      <c r="F396" s="35">
        <v>9</v>
      </c>
      <c r="G396" s="35">
        <v>4342</v>
      </c>
      <c r="H396" s="46"/>
      <c r="I396" s="47"/>
    </row>
    <row r="397" spans="1:9" x14ac:dyDescent="0.25">
      <c r="A397" s="31" t="s">
        <v>264</v>
      </c>
      <c r="B397" s="31" t="s">
        <v>266</v>
      </c>
      <c r="C397" s="31" t="s">
        <v>260</v>
      </c>
      <c r="D397" s="31" t="s">
        <v>263</v>
      </c>
      <c r="E397" s="38">
        <v>41962</v>
      </c>
      <c r="F397" s="35">
        <v>3</v>
      </c>
      <c r="G397" s="35">
        <v>1144</v>
      </c>
      <c r="H397" s="46"/>
      <c r="I397" s="47"/>
    </row>
    <row r="398" spans="1:9" x14ac:dyDescent="0.25">
      <c r="A398" s="31" t="s">
        <v>270</v>
      </c>
      <c r="B398" s="31" t="s">
        <v>266</v>
      </c>
      <c r="C398" s="31" t="s">
        <v>260</v>
      </c>
      <c r="D398" s="31" t="s">
        <v>269</v>
      </c>
      <c r="E398" s="38">
        <v>41962</v>
      </c>
      <c r="F398" s="35">
        <v>15</v>
      </c>
      <c r="G398" s="35">
        <v>6065</v>
      </c>
      <c r="H398" s="46"/>
      <c r="I398" s="47"/>
    </row>
    <row r="399" spans="1:9" x14ac:dyDescent="0.25">
      <c r="A399" s="31" t="s">
        <v>261</v>
      </c>
      <c r="B399" s="31" t="s">
        <v>273</v>
      </c>
      <c r="C399" s="31" t="s">
        <v>259</v>
      </c>
      <c r="D399" s="31" t="s">
        <v>267</v>
      </c>
      <c r="E399" s="38">
        <v>41963</v>
      </c>
      <c r="F399" s="35">
        <v>3</v>
      </c>
      <c r="G399" s="35">
        <v>726</v>
      </c>
      <c r="H399" s="46"/>
      <c r="I399" s="47"/>
    </row>
    <row r="400" spans="1:9" x14ac:dyDescent="0.25">
      <c r="A400" s="31" t="s">
        <v>280</v>
      </c>
      <c r="B400" s="31" t="s">
        <v>266</v>
      </c>
      <c r="C400" s="31" t="s">
        <v>260</v>
      </c>
      <c r="D400" s="31" t="s">
        <v>275</v>
      </c>
      <c r="E400" s="38">
        <v>41963</v>
      </c>
      <c r="F400" s="35">
        <v>15</v>
      </c>
      <c r="G400" s="35">
        <v>6314</v>
      </c>
      <c r="H400" s="46"/>
      <c r="I400" s="47"/>
    </row>
    <row r="401" spans="1:9" x14ac:dyDescent="0.25">
      <c r="A401" s="31" t="s">
        <v>277</v>
      </c>
      <c r="B401" s="31" t="s">
        <v>278</v>
      </c>
      <c r="C401" s="31" t="s">
        <v>259</v>
      </c>
      <c r="D401" s="31" t="s">
        <v>263</v>
      </c>
      <c r="E401" s="38">
        <v>41965</v>
      </c>
      <c r="F401" s="35">
        <v>6</v>
      </c>
      <c r="G401" s="35">
        <v>2811</v>
      </c>
      <c r="H401" s="46"/>
      <c r="I401" s="47"/>
    </row>
    <row r="402" spans="1:9" x14ac:dyDescent="0.25">
      <c r="A402" s="31" t="s">
        <v>276</v>
      </c>
      <c r="B402" s="31" t="s">
        <v>271</v>
      </c>
      <c r="C402" s="31" t="s">
        <v>257</v>
      </c>
      <c r="D402" s="31" t="s">
        <v>275</v>
      </c>
      <c r="E402" s="38">
        <v>41965</v>
      </c>
      <c r="F402" s="35">
        <v>10</v>
      </c>
      <c r="G402" s="35">
        <v>4840</v>
      </c>
      <c r="H402" s="46"/>
      <c r="I402" s="47"/>
    </row>
    <row r="403" spans="1:9" x14ac:dyDescent="0.25">
      <c r="A403" s="31" t="s">
        <v>276</v>
      </c>
      <c r="B403" s="31" t="s">
        <v>262</v>
      </c>
      <c r="C403" s="31" t="s">
        <v>259</v>
      </c>
      <c r="D403" s="31" t="s">
        <v>269</v>
      </c>
      <c r="E403" s="38">
        <v>41965</v>
      </c>
      <c r="F403" s="35">
        <v>15</v>
      </c>
      <c r="G403" s="35">
        <v>5279</v>
      </c>
      <c r="H403" s="46"/>
      <c r="I403" s="47"/>
    </row>
    <row r="404" spans="1:9" x14ac:dyDescent="0.25">
      <c r="A404" s="31" t="s">
        <v>276</v>
      </c>
      <c r="B404" s="31" t="s">
        <v>271</v>
      </c>
      <c r="C404" s="31" t="s">
        <v>258</v>
      </c>
      <c r="D404" s="31" t="s">
        <v>282</v>
      </c>
      <c r="E404" s="38">
        <v>41966</v>
      </c>
      <c r="F404" s="35">
        <v>13</v>
      </c>
      <c r="G404" s="35">
        <v>7865</v>
      </c>
      <c r="H404" s="46"/>
      <c r="I404" s="47"/>
    </row>
    <row r="405" spans="1:9" x14ac:dyDescent="0.25">
      <c r="A405" s="31" t="s">
        <v>280</v>
      </c>
      <c r="B405" s="31" t="s">
        <v>273</v>
      </c>
      <c r="C405" s="31" t="s">
        <v>258</v>
      </c>
      <c r="D405" s="31" t="s">
        <v>267</v>
      </c>
      <c r="E405" s="38">
        <v>41966</v>
      </c>
      <c r="F405" s="35">
        <v>4</v>
      </c>
      <c r="G405" s="35">
        <v>1238</v>
      </c>
      <c r="H405" s="46"/>
      <c r="I405" s="47"/>
    </row>
    <row r="406" spans="1:9" x14ac:dyDescent="0.25">
      <c r="A406" s="31" t="s">
        <v>268</v>
      </c>
      <c r="B406" s="31" t="s">
        <v>262</v>
      </c>
      <c r="C406" s="31" t="s">
        <v>260</v>
      </c>
      <c r="D406" s="31" t="s">
        <v>269</v>
      </c>
      <c r="E406" s="38">
        <v>41966</v>
      </c>
      <c r="F406" s="35">
        <v>18</v>
      </c>
      <c r="G406" s="35">
        <v>10005</v>
      </c>
      <c r="H406" s="46"/>
      <c r="I406" s="47"/>
    </row>
    <row r="407" spans="1:9" x14ac:dyDescent="0.25">
      <c r="A407" s="31" t="s">
        <v>270</v>
      </c>
      <c r="B407" s="31" t="s">
        <v>273</v>
      </c>
      <c r="C407" s="31" t="s">
        <v>259</v>
      </c>
      <c r="D407" s="31" t="s">
        <v>275</v>
      </c>
      <c r="E407" s="38">
        <v>41967</v>
      </c>
      <c r="F407" s="35">
        <v>15</v>
      </c>
      <c r="G407" s="35">
        <v>7684</v>
      </c>
      <c r="H407" s="46"/>
      <c r="I407" s="47"/>
    </row>
    <row r="408" spans="1:9" x14ac:dyDescent="0.25">
      <c r="A408" s="31" t="s">
        <v>281</v>
      </c>
      <c r="B408" s="31" t="s">
        <v>271</v>
      </c>
      <c r="C408" s="31" t="s">
        <v>259</v>
      </c>
      <c r="D408" s="31" t="s">
        <v>282</v>
      </c>
      <c r="E408" s="38">
        <v>41969</v>
      </c>
      <c r="F408" s="35">
        <v>15</v>
      </c>
      <c r="G408" s="35">
        <v>8239</v>
      </c>
      <c r="H408" s="46"/>
      <c r="I408" s="47"/>
    </row>
    <row r="409" spans="1:9" x14ac:dyDescent="0.25">
      <c r="A409" s="31" t="s">
        <v>270</v>
      </c>
      <c r="B409" s="31" t="s">
        <v>271</v>
      </c>
      <c r="C409" s="31" t="s">
        <v>259</v>
      </c>
      <c r="D409" s="31" t="s">
        <v>269</v>
      </c>
      <c r="E409" s="38">
        <v>41970</v>
      </c>
      <c r="F409" s="35">
        <v>14</v>
      </c>
      <c r="G409" s="35">
        <v>4308</v>
      </c>
      <c r="H409" s="46"/>
      <c r="I409" s="47"/>
    </row>
    <row r="410" spans="1:9" x14ac:dyDescent="0.25">
      <c r="A410" s="31" t="s">
        <v>274</v>
      </c>
      <c r="B410" s="31" t="s">
        <v>273</v>
      </c>
      <c r="C410" s="31" t="s">
        <v>257</v>
      </c>
      <c r="D410" s="31" t="s">
        <v>267</v>
      </c>
      <c r="E410" s="38">
        <v>41970</v>
      </c>
      <c r="F410" s="35">
        <v>10</v>
      </c>
      <c r="G410" s="35">
        <v>4664</v>
      </c>
      <c r="H410" s="46"/>
      <c r="I410" s="47"/>
    </row>
    <row r="411" spans="1:9" x14ac:dyDescent="0.25">
      <c r="A411" s="31" t="s">
        <v>270</v>
      </c>
      <c r="B411" s="31" t="s">
        <v>266</v>
      </c>
      <c r="C411" s="31" t="s">
        <v>258</v>
      </c>
      <c r="D411" s="31" t="s">
        <v>269</v>
      </c>
      <c r="E411" s="38">
        <v>41971</v>
      </c>
      <c r="F411" s="35">
        <v>13</v>
      </c>
      <c r="G411" s="35">
        <v>6439</v>
      </c>
      <c r="H411" s="46"/>
      <c r="I411" s="47"/>
    </row>
    <row r="412" spans="1:9" x14ac:dyDescent="0.25">
      <c r="A412" s="31" t="s">
        <v>279</v>
      </c>
      <c r="B412" s="31" t="s">
        <v>271</v>
      </c>
      <c r="C412" s="31" t="s">
        <v>257</v>
      </c>
      <c r="D412" s="31" t="s">
        <v>282</v>
      </c>
      <c r="E412" s="38">
        <v>41971</v>
      </c>
      <c r="F412" s="35">
        <v>16</v>
      </c>
      <c r="G412" s="35">
        <v>8448</v>
      </c>
      <c r="H412" s="46"/>
      <c r="I412" s="47"/>
    </row>
    <row r="413" spans="1:9" x14ac:dyDescent="0.25">
      <c r="A413" s="31" t="s">
        <v>279</v>
      </c>
      <c r="B413" s="31" t="s">
        <v>271</v>
      </c>
      <c r="C413" s="31" t="s">
        <v>259</v>
      </c>
      <c r="D413" s="31" t="s">
        <v>263</v>
      </c>
      <c r="E413" s="38">
        <v>41972</v>
      </c>
      <c r="F413" s="35">
        <v>14</v>
      </c>
      <c r="G413" s="35">
        <v>6133</v>
      </c>
      <c r="H413" s="46"/>
      <c r="I413" s="47"/>
    </row>
    <row r="414" spans="1:9" x14ac:dyDescent="0.25">
      <c r="A414" s="31" t="s">
        <v>268</v>
      </c>
      <c r="B414" s="31" t="s">
        <v>278</v>
      </c>
      <c r="C414" s="31" t="s">
        <v>259</v>
      </c>
      <c r="D414" s="31" t="s">
        <v>267</v>
      </c>
      <c r="E414" s="38">
        <v>41973</v>
      </c>
      <c r="F414" s="35">
        <v>4</v>
      </c>
      <c r="G414" s="35">
        <v>1172</v>
      </c>
      <c r="H414" s="46"/>
      <c r="I414" s="47"/>
    </row>
    <row r="415" spans="1:9" x14ac:dyDescent="0.25">
      <c r="A415" s="31" t="s">
        <v>265</v>
      </c>
      <c r="B415" s="31" t="s">
        <v>278</v>
      </c>
      <c r="C415" s="31" t="s">
        <v>259</v>
      </c>
      <c r="D415" s="31" t="s">
        <v>269</v>
      </c>
      <c r="E415" s="38">
        <v>41976</v>
      </c>
      <c r="F415" s="35">
        <v>14</v>
      </c>
      <c r="G415" s="35">
        <v>8437</v>
      </c>
      <c r="H415" s="46"/>
      <c r="I415" s="47"/>
    </row>
    <row r="416" spans="1:9" x14ac:dyDescent="0.25">
      <c r="A416" s="31" t="s">
        <v>274</v>
      </c>
      <c r="B416" s="31" t="s">
        <v>278</v>
      </c>
      <c r="C416" s="31" t="s">
        <v>257</v>
      </c>
      <c r="D416" s="31" t="s">
        <v>263</v>
      </c>
      <c r="E416" s="38">
        <v>41977</v>
      </c>
      <c r="F416" s="35">
        <v>11</v>
      </c>
      <c r="G416" s="35">
        <v>6545</v>
      </c>
      <c r="H416" s="46"/>
      <c r="I416" s="47"/>
    </row>
    <row r="417" spans="1:9" x14ac:dyDescent="0.25">
      <c r="A417" s="31" t="s">
        <v>281</v>
      </c>
      <c r="B417" s="31" t="s">
        <v>273</v>
      </c>
      <c r="C417" s="31" t="s">
        <v>259</v>
      </c>
      <c r="D417" s="31" t="s">
        <v>282</v>
      </c>
      <c r="E417" s="38">
        <v>41977</v>
      </c>
      <c r="F417" s="35">
        <v>16</v>
      </c>
      <c r="G417" s="35">
        <v>8300</v>
      </c>
      <c r="H417" s="46"/>
      <c r="I417" s="47"/>
    </row>
    <row r="418" spans="1:9" x14ac:dyDescent="0.25">
      <c r="A418" s="31" t="s">
        <v>281</v>
      </c>
      <c r="B418" s="31" t="s">
        <v>273</v>
      </c>
      <c r="C418" s="31" t="s">
        <v>259</v>
      </c>
      <c r="D418" s="31" t="s">
        <v>263</v>
      </c>
      <c r="E418" s="38">
        <v>41978</v>
      </c>
      <c r="F418" s="35">
        <v>6</v>
      </c>
      <c r="G418" s="35">
        <v>2690</v>
      </c>
      <c r="H418" s="46"/>
      <c r="I418" s="47"/>
    </row>
    <row r="419" spans="1:9" x14ac:dyDescent="0.25">
      <c r="A419" s="31" t="s">
        <v>270</v>
      </c>
      <c r="B419" s="31" t="s">
        <v>278</v>
      </c>
      <c r="C419" s="31" t="s">
        <v>259</v>
      </c>
      <c r="D419" s="31" t="s">
        <v>263</v>
      </c>
      <c r="E419" s="38">
        <v>41978</v>
      </c>
      <c r="F419" s="35">
        <v>8</v>
      </c>
      <c r="G419" s="35">
        <v>3971</v>
      </c>
      <c r="H419" s="46"/>
      <c r="I419" s="47"/>
    </row>
    <row r="420" spans="1:9" x14ac:dyDescent="0.25">
      <c r="A420" s="31" t="s">
        <v>264</v>
      </c>
      <c r="B420" s="31" t="s">
        <v>262</v>
      </c>
      <c r="C420" s="31" t="s">
        <v>259</v>
      </c>
      <c r="D420" s="31" t="s">
        <v>282</v>
      </c>
      <c r="E420" s="38">
        <v>41980</v>
      </c>
      <c r="F420" s="35">
        <v>2</v>
      </c>
      <c r="G420" s="35">
        <v>611</v>
      </c>
      <c r="H420" s="46"/>
      <c r="I420" s="47"/>
    </row>
    <row r="421" spans="1:9" x14ac:dyDescent="0.25">
      <c r="A421" s="31" t="s">
        <v>279</v>
      </c>
      <c r="B421" s="31" t="s">
        <v>278</v>
      </c>
      <c r="C421" s="31" t="s">
        <v>260</v>
      </c>
      <c r="D421" s="31" t="s">
        <v>267</v>
      </c>
      <c r="E421" s="38">
        <v>41980</v>
      </c>
      <c r="F421" s="35">
        <v>7</v>
      </c>
      <c r="G421" s="35">
        <v>2079</v>
      </c>
      <c r="H421" s="46"/>
      <c r="I421" s="47"/>
    </row>
    <row r="422" spans="1:9" x14ac:dyDescent="0.25">
      <c r="A422" s="31" t="s">
        <v>265</v>
      </c>
      <c r="B422" s="31" t="s">
        <v>273</v>
      </c>
      <c r="C422" s="31" t="s">
        <v>257</v>
      </c>
      <c r="D422" s="31" t="s">
        <v>275</v>
      </c>
      <c r="E422" s="38">
        <v>41980</v>
      </c>
      <c r="F422" s="35">
        <v>2</v>
      </c>
      <c r="G422" s="35">
        <v>369</v>
      </c>
      <c r="H422" s="46"/>
      <c r="I422" s="47"/>
    </row>
    <row r="423" spans="1:9" x14ac:dyDescent="0.25">
      <c r="A423" s="31" t="s">
        <v>274</v>
      </c>
      <c r="B423" s="31" t="s">
        <v>266</v>
      </c>
      <c r="C423" s="31" t="s">
        <v>258</v>
      </c>
      <c r="D423" s="31" t="s">
        <v>267</v>
      </c>
      <c r="E423" s="38">
        <v>41981</v>
      </c>
      <c r="F423" s="35">
        <v>8</v>
      </c>
      <c r="G423" s="35">
        <v>3218</v>
      </c>
      <c r="H423" s="46"/>
      <c r="I423" s="47"/>
    </row>
    <row r="424" spans="1:9" x14ac:dyDescent="0.25">
      <c r="A424" s="31" t="s">
        <v>280</v>
      </c>
      <c r="B424" s="31" t="s">
        <v>266</v>
      </c>
      <c r="C424" s="31" t="s">
        <v>258</v>
      </c>
      <c r="D424" s="31" t="s">
        <v>269</v>
      </c>
      <c r="E424" s="38">
        <v>41983</v>
      </c>
      <c r="F424" s="35">
        <v>14</v>
      </c>
      <c r="G424" s="35">
        <v>6604</v>
      </c>
      <c r="H424" s="46"/>
      <c r="I424" s="47"/>
    </row>
    <row r="425" spans="1:9" x14ac:dyDescent="0.25">
      <c r="A425" s="31" t="s">
        <v>264</v>
      </c>
      <c r="B425" s="31" t="s">
        <v>262</v>
      </c>
      <c r="C425" s="31" t="s">
        <v>260</v>
      </c>
      <c r="D425" s="31" t="s">
        <v>275</v>
      </c>
      <c r="E425" s="38">
        <v>41984</v>
      </c>
      <c r="F425" s="35">
        <v>3</v>
      </c>
      <c r="G425" s="35">
        <v>957</v>
      </c>
      <c r="H425" s="46"/>
      <c r="I425" s="47"/>
    </row>
    <row r="426" spans="1:9" x14ac:dyDescent="0.25">
      <c r="A426" s="31" t="s">
        <v>279</v>
      </c>
      <c r="B426" s="31" t="s">
        <v>262</v>
      </c>
      <c r="C426" s="31" t="s">
        <v>260</v>
      </c>
      <c r="D426" s="31" t="s">
        <v>267</v>
      </c>
      <c r="E426" s="38">
        <v>41984</v>
      </c>
      <c r="F426" s="35">
        <v>10</v>
      </c>
      <c r="G426" s="35">
        <v>4912</v>
      </c>
      <c r="H426" s="46"/>
      <c r="I426" s="47"/>
    </row>
    <row r="427" spans="1:9" x14ac:dyDescent="0.25">
      <c r="A427" s="31" t="s">
        <v>276</v>
      </c>
      <c r="B427" s="31" t="s">
        <v>271</v>
      </c>
      <c r="C427" s="31" t="s">
        <v>257</v>
      </c>
      <c r="D427" s="31" t="s">
        <v>269</v>
      </c>
      <c r="E427" s="38">
        <v>41984</v>
      </c>
      <c r="F427" s="35">
        <v>14</v>
      </c>
      <c r="G427" s="35">
        <v>7195</v>
      </c>
      <c r="H427" s="46"/>
      <c r="I427" s="47"/>
    </row>
    <row r="428" spans="1:9" x14ac:dyDescent="0.25">
      <c r="A428" s="31" t="s">
        <v>268</v>
      </c>
      <c r="B428" s="31" t="s">
        <v>278</v>
      </c>
      <c r="C428" s="31" t="s">
        <v>260</v>
      </c>
      <c r="D428" s="31" t="s">
        <v>275</v>
      </c>
      <c r="E428" s="38">
        <v>41985</v>
      </c>
      <c r="F428" s="35">
        <v>5</v>
      </c>
      <c r="G428" s="35">
        <v>1353</v>
      </c>
      <c r="H428" s="46"/>
      <c r="I428" s="47"/>
    </row>
    <row r="429" spans="1:9" x14ac:dyDescent="0.25">
      <c r="A429" s="31" t="s">
        <v>265</v>
      </c>
      <c r="B429" s="31" t="s">
        <v>266</v>
      </c>
      <c r="C429" s="31" t="s">
        <v>260</v>
      </c>
      <c r="D429" s="31" t="s">
        <v>263</v>
      </c>
      <c r="E429" s="38">
        <v>41986</v>
      </c>
      <c r="F429" s="35">
        <v>15</v>
      </c>
      <c r="G429" s="35">
        <v>5500</v>
      </c>
      <c r="H429" s="46"/>
      <c r="I429" s="47"/>
    </row>
    <row r="430" spans="1:9" x14ac:dyDescent="0.25">
      <c r="A430" s="31" t="s">
        <v>270</v>
      </c>
      <c r="B430" s="31" t="s">
        <v>271</v>
      </c>
      <c r="C430" s="31" t="s">
        <v>257</v>
      </c>
      <c r="D430" s="31" t="s">
        <v>275</v>
      </c>
      <c r="E430" s="38">
        <v>41987</v>
      </c>
      <c r="F430" s="35">
        <v>12</v>
      </c>
      <c r="G430" s="35">
        <v>3971</v>
      </c>
      <c r="H430" s="46"/>
      <c r="I430" s="47"/>
    </row>
    <row r="431" spans="1:9" x14ac:dyDescent="0.25">
      <c r="A431" s="31" t="s">
        <v>264</v>
      </c>
      <c r="B431" s="31" t="s">
        <v>273</v>
      </c>
      <c r="C431" s="31" t="s">
        <v>259</v>
      </c>
      <c r="D431" s="31" t="s">
        <v>275</v>
      </c>
      <c r="E431" s="38">
        <v>41987</v>
      </c>
      <c r="F431" s="35">
        <v>12</v>
      </c>
      <c r="G431" s="35">
        <v>4477</v>
      </c>
      <c r="H431" s="46"/>
      <c r="I431" s="47"/>
    </row>
    <row r="432" spans="1:9" x14ac:dyDescent="0.25">
      <c r="A432" s="31" t="s">
        <v>264</v>
      </c>
      <c r="B432" s="31" t="s">
        <v>278</v>
      </c>
      <c r="C432" s="31" t="s">
        <v>258</v>
      </c>
      <c r="D432" s="31" t="s">
        <v>269</v>
      </c>
      <c r="E432" s="38">
        <v>41988</v>
      </c>
      <c r="F432" s="35">
        <v>20</v>
      </c>
      <c r="G432" s="35">
        <v>12018</v>
      </c>
      <c r="H432" s="46"/>
      <c r="I432" s="47"/>
    </row>
    <row r="433" spans="1:9" x14ac:dyDescent="0.25">
      <c r="A433" s="31" t="s">
        <v>268</v>
      </c>
      <c r="B433" s="31" t="s">
        <v>266</v>
      </c>
      <c r="C433" s="31" t="s">
        <v>259</v>
      </c>
      <c r="D433" s="31" t="s">
        <v>269</v>
      </c>
      <c r="E433" s="38">
        <v>41988</v>
      </c>
      <c r="F433" s="35">
        <v>12</v>
      </c>
      <c r="G433" s="35">
        <v>3691</v>
      </c>
      <c r="H433" s="46"/>
      <c r="I433" s="47"/>
    </row>
    <row r="434" spans="1:9" x14ac:dyDescent="0.25">
      <c r="A434" s="31" t="s">
        <v>264</v>
      </c>
      <c r="B434" s="31" t="s">
        <v>266</v>
      </c>
      <c r="C434" s="31" t="s">
        <v>258</v>
      </c>
      <c r="D434" s="31" t="s">
        <v>282</v>
      </c>
      <c r="E434" s="38">
        <v>41990</v>
      </c>
      <c r="F434" s="35">
        <v>7</v>
      </c>
      <c r="G434" s="35">
        <v>3795</v>
      </c>
      <c r="H434" s="46"/>
      <c r="I434" s="47"/>
    </row>
    <row r="435" spans="1:9" x14ac:dyDescent="0.25">
      <c r="A435" s="31" t="s">
        <v>268</v>
      </c>
      <c r="B435" s="31" t="s">
        <v>273</v>
      </c>
      <c r="C435" s="31" t="s">
        <v>258</v>
      </c>
      <c r="D435" s="31" t="s">
        <v>267</v>
      </c>
      <c r="E435" s="38">
        <v>41991</v>
      </c>
      <c r="F435" s="35">
        <v>10</v>
      </c>
      <c r="G435" s="35">
        <v>3652</v>
      </c>
      <c r="H435" s="46"/>
      <c r="I435" s="47"/>
    </row>
    <row r="436" spans="1:9" x14ac:dyDescent="0.25">
      <c r="A436" s="31" t="s">
        <v>272</v>
      </c>
      <c r="B436" s="31" t="s">
        <v>278</v>
      </c>
      <c r="C436" s="31" t="s">
        <v>259</v>
      </c>
      <c r="D436" s="31" t="s">
        <v>275</v>
      </c>
      <c r="E436" s="38">
        <v>41991</v>
      </c>
      <c r="F436" s="35">
        <v>4</v>
      </c>
      <c r="G436" s="35">
        <v>1463</v>
      </c>
      <c r="H436" s="46"/>
      <c r="I436" s="47"/>
    </row>
    <row r="437" spans="1:9" x14ac:dyDescent="0.25">
      <c r="A437" s="31" t="s">
        <v>264</v>
      </c>
      <c r="B437" s="31" t="s">
        <v>273</v>
      </c>
      <c r="C437" s="31" t="s">
        <v>257</v>
      </c>
      <c r="D437" s="31" t="s">
        <v>269</v>
      </c>
      <c r="E437" s="38">
        <v>41991</v>
      </c>
      <c r="F437" s="35">
        <v>20</v>
      </c>
      <c r="G437" s="35">
        <v>10054</v>
      </c>
      <c r="H437" s="46"/>
      <c r="I437" s="47"/>
    </row>
    <row r="438" spans="1:9" x14ac:dyDescent="0.25">
      <c r="A438" s="31" t="s">
        <v>270</v>
      </c>
      <c r="B438" s="31" t="s">
        <v>278</v>
      </c>
      <c r="C438" s="31" t="s">
        <v>259</v>
      </c>
      <c r="D438" s="31" t="s">
        <v>275</v>
      </c>
      <c r="E438" s="38">
        <v>41992</v>
      </c>
      <c r="F438" s="35">
        <v>2</v>
      </c>
      <c r="G438" s="35">
        <v>528</v>
      </c>
      <c r="H438" s="46"/>
      <c r="I438" s="47"/>
    </row>
    <row r="439" spans="1:9" x14ac:dyDescent="0.25">
      <c r="A439" s="31" t="s">
        <v>265</v>
      </c>
      <c r="B439" s="31" t="s">
        <v>273</v>
      </c>
      <c r="C439" s="31" t="s">
        <v>258</v>
      </c>
      <c r="D439" s="31" t="s">
        <v>275</v>
      </c>
      <c r="E439" s="38">
        <v>41992</v>
      </c>
      <c r="F439" s="35">
        <v>13</v>
      </c>
      <c r="G439" s="35">
        <v>6336</v>
      </c>
      <c r="H439" s="46"/>
      <c r="I439" s="47"/>
    </row>
    <row r="440" spans="1:9" x14ac:dyDescent="0.25">
      <c r="A440" s="31" t="s">
        <v>272</v>
      </c>
      <c r="B440" s="31" t="s">
        <v>266</v>
      </c>
      <c r="C440" s="31" t="s">
        <v>260</v>
      </c>
      <c r="D440" s="31" t="s">
        <v>269</v>
      </c>
      <c r="E440" s="38">
        <v>41992</v>
      </c>
      <c r="F440" s="35">
        <v>21</v>
      </c>
      <c r="G440" s="35">
        <v>8624</v>
      </c>
      <c r="H440" s="46"/>
      <c r="I440" s="47"/>
    </row>
    <row r="441" spans="1:9" x14ac:dyDescent="0.25">
      <c r="A441" s="31" t="s">
        <v>265</v>
      </c>
      <c r="B441" s="31" t="s">
        <v>271</v>
      </c>
      <c r="C441" s="31" t="s">
        <v>258</v>
      </c>
      <c r="D441" s="31" t="s">
        <v>269</v>
      </c>
      <c r="E441" s="38">
        <v>41994</v>
      </c>
      <c r="F441" s="35">
        <v>17</v>
      </c>
      <c r="G441" s="35">
        <v>6881</v>
      </c>
      <c r="H441" s="46"/>
      <c r="I441" s="47"/>
    </row>
    <row r="442" spans="1:9" x14ac:dyDescent="0.25">
      <c r="A442" s="31" t="s">
        <v>279</v>
      </c>
      <c r="B442" s="31" t="s">
        <v>271</v>
      </c>
      <c r="C442" s="31" t="s">
        <v>257</v>
      </c>
      <c r="D442" s="31" t="s">
        <v>267</v>
      </c>
      <c r="E442" s="38">
        <v>41994</v>
      </c>
      <c r="F442" s="35">
        <v>4</v>
      </c>
      <c r="G442" s="35">
        <v>1810</v>
      </c>
      <c r="H442" s="46"/>
      <c r="I442" s="47"/>
    </row>
    <row r="443" spans="1:9" x14ac:dyDescent="0.25">
      <c r="A443" s="31" t="s">
        <v>280</v>
      </c>
      <c r="B443" s="31" t="s">
        <v>262</v>
      </c>
      <c r="C443" s="31" t="s">
        <v>257</v>
      </c>
      <c r="D443" s="31" t="s">
        <v>275</v>
      </c>
      <c r="E443" s="38">
        <v>41994</v>
      </c>
      <c r="F443" s="35">
        <v>4</v>
      </c>
      <c r="G443" s="35">
        <v>1502</v>
      </c>
      <c r="H443" s="46"/>
      <c r="I443" s="47"/>
    </row>
    <row r="444" spans="1:9" x14ac:dyDescent="0.25">
      <c r="A444" s="31" t="s">
        <v>265</v>
      </c>
      <c r="B444" s="31" t="s">
        <v>273</v>
      </c>
      <c r="C444" s="31" t="s">
        <v>259</v>
      </c>
      <c r="D444" s="31" t="s">
        <v>269</v>
      </c>
      <c r="E444" s="38">
        <v>41995</v>
      </c>
      <c r="F444" s="35">
        <v>21</v>
      </c>
      <c r="G444" s="35">
        <v>7260</v>
      </c>
      <c r="H444" s="46"/>
      <c r="I444" s="47"/>
    </row>
    <row r="445" spans="1:9" x14ac:dyDescent="0.25">
      <c r="A445" s="31" t="s">
        <v>276</v>
      </c>
      <c r="B445" s="31" t="s">
        <v>271</v>
      </c>
      <c r="C445" s="31" t="s">
        <v>260</v>
      </c>
      <c r="D445" s="31" t="s">
        <v>282</v>
      </c>
      <c r="E445" s="38">
        <v>41995</v>
      </c>
      <c r="F445" s="35">
        <v>10</v>
      </c>
      <c r="G445" s="35">
        <v>4109</v>
      </c>
      <c r="H445" s="46"/>
      <c r="I445" s="47"/>
    </row>
    <row r="446" spans="1:9" x14ac:dyDescent="0.25">
      <c r="A446" s="31" t="s">
        <v>268</v>
      </c>
      <c r="B446" s="31" t="s">
        <v>271</v>
      </c>
      <c r="C446" s="31" t="s">
        <v>257</v>
      </c>
      <c r="D446" s="31" t="s">
        <v>275</v>
      </c>
      <c r="E446" s="38">
        <v>41995</v>
      </c>
      <c r="F446" s="35">
        <v>9</v>
      </c>
      <c r="G446" s="35">
        <v>4692</v>
      </c>
      <c r="H446" s="46"/>
      <c r="I446" s="47"/>
    </row>
    <row r="447" spans="1:9" x14ac:dyDescent="0.25">
      <c r="A447" s="31" t="s">
        <v>276</v>
      </c>
      <c r="B447" s="31" t="s">
        <v>273</v>
      </c>
      <c r="C447" s="31" t="s">
        <v>259</v>
      </c>
      <c r="D447" s="31" t="s">
        <v>263</v>
      </c>
      <c r="E447" s="38">
        <v>41997</v>
      </c>
      <c r="F447" s="35">
        <v>4</v>
      </c>
      <c r="G447" s="35">
        <v>1166</v>
      </c>
      <c r="H447" s="46"/>
      <c r="I447" s="47"/>
    </row>
    <row r="448" spans="1:9" x14ac:dyDescent="0.25">
      <c r="A448" s="31" t="s">
        <v>274</v>
      </c>
      <c r="B448" s="31" t="s">
        <v>271</v>
      </c>
      <c r="C448" s="31" t="s">
        <v>257</v>
      </c>
      <c r="D448" s="31" t="s">
        <v>275</v>
      </c>
      <c r="E448" s="38">
        <v>41997</v>
      </c>
      <c r="F448" s="35">
        <v>7</v>
      </c>
      <c r="G448" s="35">
        <v>3014</v>
      </c>
      <c r="H448" s="46"/>
      <c r="I448" s="47"/>
    </row>
    <row r="449" spans="1:9" x14ac:dyDescent="0.25">
      <c r="A449" s="31" t="s">
        <v>274</v>
      </c>
      <c r="B449" s="31" t="s">
        <v>278</v>
      </c>
      <c r="C449" s="31" t="s">
        <v>259</v>
      </c>
      <c r="D449" s="31" t="s">
        <v>282</v>
      </c>
      <c r="E449" s="38">
        <v>41997</v>
      </c>
      <c r="F449" s="35">
        <v>2</v>
      </c>
      <c r="G449" s="35">
        <v>622</v>
      </c>
      <c r="H449" s="46"/>
      <c r="I449" s="47"/>
    </row>
    <row r="450" spans="1:9" x14ac:dyDescent="0.25">
      <c r="A450" s="31" t="s">
        <v>277</v>
      </c>
      <c r="B450" s="31" t="s">
        <v>271</v>
      </c>
      <c r="C450" s="31" t="s">
        <v>257</v>
      </c>
      <c r="D450" s="31" t="s">
        <v>267</v>
      </c>
      <c r="E450" s="38">
        <v>41997</v>
      </c>
      <c r="F450" s="35">
        <v>13</v>
      </c>
      <c r="G450" s="35">
        <v>6958</v>
      </c>
      <c r="H450" s="46"/>
      <c r="I450" s="47"/>
    </row>
    <row r="451" spans="1:9" x14ac:dyDescent="0.25">
      <c r="A451" s="31" t="s">
        <v>265</v>
      </c>
      <c r="B451" s="31" t="s">
        <v>273</v>
      </c>
      <c r="C451" s="31" t="s">
        <v>260</v>
      </c>
      <c r="D451" s="31" t="s">
        <v>269</v>
      </c>
      <c r="E451" s="38">
        <v>41997</v>
      </c>
      <c r="F451" s="35">
        <v>10</v>
      </c>
      <c r="G451" s="35">
        <v>3886</v>
      </c>
      <c r="H451" s="46"/>
      <c r="I451" s="47"/>
    </row>
    <row r="452" spans="1:9" x14ac:dyDescent="0.25">
      <c r="A452" s="31" t="s">
        <v>261</v>
      </c>
      <c r="B452" s="31" t="s">
        <v>278</v>
      </c>
      <c r="C452" s="31" t="s">
        <v>260</v>
      </c>
      <c r="D452" s="31" t="s">
        <v>269</v>
      </c>
      <c r="E452" s="38">
        <v>41997</v>
      </c>
      <c r="F452" s="35">
        <v>21</v>
      </c>
      <c r="G452" s="35">
        <v>7326</v>
      </c>
      <c r="H452" s="46"/>
      <c r="I452" s="47"/>
    </row>
    <row r="453" spans="1:9" x14ac:dyDescent="0.25">
      <c r="A453" s="31" t="s">
        <v>276</v>
      </c>
      <c r="B453" s="31" t="s">
        <v>278</v>
      </c>
      <c r="C453" s="31" t="s">
        <v>260</v>
      </c>
      <c r="D453" s="31" t="s">
        <v>263</v>
      </c>
      <c r="E453" s="38">
        <v>41997</v>
      </c>
      <c r="F453" s="35">
        <v>6</v>
      </c>
      <c r="G453" s="35">
        <v>2453</v>
      </c>
      <c r="H453" s="46"/>
      <c r="I453" s="47"/>
    </row>
    <row r="454" spans="1:9" x14ac:dyDescent="0.25">
      <c r="A454" s="31" t="s">
        <v>261</v>
      </c>
      <c r="B454" s="31" t="s">
        <v>262</v>
      </c>
      <c r="C454" s="31" t="s">
        <v>258</v>
      </c>
      <c r="D454" s="31" t="s">
        <v>263</v>
      </c>
      <c r="E454" s="38">
        <v>41999</v>
      </c>
      <c r="F454" s="35">
        <v>9</v>
      </c>
      <c r="G454" s="35">
        <v>4345</v>
      </c>
      <c r="H454" s="46"/>
      <c r="I454" s="47"/>
    </row>
    <row r="455" spans="1:9" x14ac:dyDescent="0.25">
      <c r="A455" s="31" t="s">
        <v>268</v>
      </c>
      <c r="B455" s="31" t="s">
        <v>278</v>
      </c>
      <c r="C455" s="31" t="s">
        <v>257</v>
      </c>
      <c r="D455" s="31" t="s">
        <v>282</v>
      </c>
      <c r="E455" s="38">
        <v>41999</v>
      </c>
      <c r="F455" s="35">
        <v>12</v>
      </c>
      <c r="G455" s="35">
        <v>4598</v>
      </c>
      <c r="H455" s="46"/>
      <c r="I455" s="47"/>
    </row>
    <row r="456" spans="1:9" x14ac:dyDescent="0.25">
      <c r="A456" s="31" t="s">
        <v>281</v>
      </c>
      <c r="B456" s="31" t="s">
        <v>278</v>
      </c>
      <c r="C456" s="31" t="s">
        <v>259</v>
      </c>
      <c r="D456" s="31" t="s">
        <v>269</v>
      </c>
      <c r="E456" s="38">
        <v>41999</v>
      </c>
      <c r="F456" s="35">
        <v>10</v>
      </c>
      <c r="G456" s="35">
        <v>3144</v>
      </c>
      <c r="H456" s="46"/>
      <c r="I456" s="47"/>
    </row>
    <row r="457" spans="1:9" x14ac:dyDescent="0.25">
      <c r="A457" s="31" t="s">
        <v>264</v>
      </c>
      <c r="B457" s="31" t="s">
        <v>273</v>
      </c>
      <c r="C457" s="31" t="s">
        <v>259</v>
      </c>
      <c r="D457" s="31" t="s">
        <v>282</v>
      </c>
      <c r="E457" s="38">
        <v>41999</v>
      </c>
      <c r="F457" s="35">
        <v>5</v>
      </c>
      <c r="G457" s="35">
        <v>1689</v>
      </c>
      <c r="H457" s="46"/>
      <c r="I457" s="47"/>
    </row>
    <row r="458" spans="1:9" x14ac:dyDescent="0.25">
      <c r="A458" s="31" t="s">
        <v>264</v>
      </c>
      <c r="B458" s="31" t="s">
        <v>273</v>
      </c>
      <c r="C458" s="31" t="s">
        <v>257</v>
      </c>
      <c r="D458" s="31" t="s">
        <v>282</v>
      </c>
      <c r="E458" s="38">
        <v>41999</v>
      </c>
      <c r="F458" s="35">
        <v>16</v>
      </c>
      <c r="G458" s="35">
        <v>7112</v>
      </c>
      <c r="H458" s="46"/>
      <c r="I458" s="47"/>
    </row>
    <row r="459" spans="1:9" x14ac:dyDescent="0.25">
      <c r="A459" s="31" t="s">
        <v>272</v>
      </c>
      <c r="B459" s="31" t="s">
        <v>262</v>
      </c>
      <c r="C459" s="31" t="s">
        <v>259</v>
      </c>
      <c r="D459" s="31" t="s">
        <v>275</v>
      </c>
      <c r="E459" s="38">
        <v>42000</v>
      </c>
      <c r="F459" s="35">
        <v>5</v>
      </c>
      <c r="G459" s="35">
        <v>2541</v>
      </c>
      <c r="H459" s="46"/>
      <c r="I459" s="47"/>
    </row>
    <row r="460" spans="1:9" x14ac:dyDescent="0.25">
      <c r="A460" s="31" t="s">
        <v>268</v>
      </c>
      <c r="B460" s="31" t="s">
        <v>271</v>
      </c>
      <c r="C460" s="31" t="s">
        <v>259</v>
      </c>
      <c r="D460" s="31" t="s">
        <v>269</v>
      </c>
      <c r="E460" s="38">
        <v>42000</v>
      </c>
      <c r="F460" s="35">
        <v>13</v>
      </c>
      <c r="G460" s="35">
        <v>5977</v>
      </c>
      <c r="H460" s="46"/>
      <c r="I460" s="47"/>
    </row>
    <row r="461" spans="1:9" x14ac:dyDescent="0.25">
      <c r="A461" s="31" t="s">
        <v>274</v>
      </c>
      <c r="B461" s="31" t="s">
        <v>271</v>
      </c>
      <c r="C461" s="31" t="s">
        <v>259</v>
      </c>
      <c r="D461" s="31" t="s">
        <v>267</v>
      </c>
      <c r="E461" s="38">
        <v>42001</v>
      </c>
      <c r="F461" s="35">
        <v>3</v>
      </c>
      <c r="G461" s="35">
        <v>1133</v>
      </c>
      <c r="H461" s="46"/>
      <c r="I461" s="47"/>
    </row>
    <row r="462" spans="1:9" x14ac:dyDescent="0.25">
      <c r="A462" s="31" t="s">
        <v>268</v>
      </c>
      <c r="B462" s="31" t="s">
        <v>278</v>
      </c>
      <c r="C462" s="31" t="s">
        <v>257</v>
      </c>
      <c r="D462" s="31" t="s">
        <v>263</v>
      </c>
      <c r="E462" s="38">
        <v>42001</v>
      </c>
      <c r="F462" s="35">
        <v>2</v>
      </c>
      <c r="G462" s="35">
        <v>649</v>
      </c>
      <c r="H462" s="46"/>
      <c r="I462" s="47"/>
    </row>
    <row r="463" spans="1:9" x14ac:dyDescent="0.25">
      <c r="A463" s="31" t="s">
        <v>280</v>
      </c>
      <c r="B463" s="31" t="s">
        <v>266</v>
      </c>
      <c r="C463" s="31" t="s">
        <v>258</v>
      </c>
      <c r="D463" s="31" t="s">
        <v>269</v>
      </c>
      <c r="E463" s="38">
        <v>42001</v>
      </c>
      <c r="F463" s="35">
        <v>19</v>
      </c>
      <c r="G463" s="35">
        <v>11210</v>
      </c>
      <c r="H463" s="46"/>
      <c r="I463" s="47"/>
    </row>
    <row r="464" spans="1:9" x14ac:dyDescent="0.25">
      <c r="A464" s="31" t="s">
        <v>265</v>
      </c>
      <c r="B464" s="31" t="s">
        <v>273</v>
      </c>
      <c r="C464" s="31" t="s">
        <v>259</v>
      </c>
      <c r="D464" s="31" t="s">
        <v>275</v>
      </c>
      <c r="E464" s="38">
        <v>42001</v>
      </c>
      <c r="F464" s="35">
        <v>16</v>
      </c>
      <c r="G464" s="35">
        <v>7442</v>
      </c>
      <c r="H464" s="46"/>
      <c r="I464" s="47"/>
    </row>
    <row r="465" spans="1:9" x14ac:dyDescent="0.25">
      <c r="A465" s="31" t="s">
        <v>272</v>
      </c>
      <c r="B465" s="31" t="s">
        <v>273</v>
      </c>
      <c r="C465" s="31" t="s">
        <v>258</v>
      </c>
      <c r="D465" s="31" t="s">
        <v>282</v>
      </c>
      <c r="E465" s="38">
        <v>42002</v>
      </c>
      <c r="F465" s="35">
        <v>5</v>
      </c>
      <c r="G465" s="35">
        <v>2233</v>
      </c>
      <c r="H465" s="46"/>
      <c r="I465" s="47"/>
    </row>
    <row r="466" spans="1:9" x14ac:dyDescent="0.25">
      <c r="A466" s="31" t="s">
        <v>270</v>
      </c>
      <c r="B466" s="31" t="s">
        <v>273</v>
      </c>
      <c r="C466" s="31" t="s">
        <v>258</v>
      </c>
      <c r="D466" s="31" t="s">
        <v>269</v>
      </c>
      <c r="E466" s="38">
        <v>42004</v>
      </c>
      <c r="F466" s="35">
        <v>21</v>
      </c>
      <c r="G466" s="35">
        <v>9460</v>
      </c>
      <c r="H466" s="46"/>
      <c r="I466" s="47"/>
    </row>
    <row r="467" spans="1:9" x14ac:dyDescent="0.25">
      <c r="A467" s="31" t="s">
        <v>272</v>
      </c>
      <c r="B467" s="31" t="s">
        <v>271</v>
      </c>
      <c r="C467" s="31" t="s">
        <v>260</v>
      </c>
      <c r="D467" s="31" t="s">
        <v>267</v>
      </c>
      <c r="E467" s="38">
        <v>42004</v>
      </c>
      <c r="F467" s="35">
        <v>2</v>
      </c>
      <c r="G467" s="35">
        <v>506</v>
      </c>
      <c r="H467" s="46"/>
      <c r="I467" s="47"/>
    </row>
    <row r="468" spans="1:9" x14ac:dyDescent="0.25">
      <c r="A468" s="31" t="s">
        <v>264</v>
      </c>
      <c r="B468" s="31" t="s">
        <v>271</v>
      </c>
      <c r="C468" s="31" t="s">
        <v>257</v>
      </c>
      <c r="D468" s="31" t="s">
        <v>267</v>
      </c>
      <c r="E468" s="38">
        <v>42005</v>
      </c>
      <c r="F468" s="35">
        <v>12</v>
      </c>
      <c r="G468" s="35">
        <v>6694</v>
      </c>
      <c r="H468" s="46"/>
      <c r="I468" s="47"/>
    </row>
    <row r="469" spans="1:9" x14ac:dyDescent="0.25">
      <c r="A469" s="31" t="s">
        <v>272</v>
      </c>
      <c r="B469" s="31" t="s">
        <v>262</v>
      </c>
      <c r="C469" s="31" t="s">
        <v>257</v>
      </c>
      <c r="D469" s="31" t="s">
        <v>275</v>
      </c>
      <c r="E469" s="38">
        <v>42005</v>
      </c>
      <c r="F469" s="35">
        <v>8</v>
      </c>
      <c r="G469" s="35">
        <v>4197</v>
      </c>
      <c r="H469" s="46"/>
      <c r="I469" s="47"/>
    </row>
    <row r="470" spans="1:9" x14ac:dyDescent="0.25">
      <c r="A470" s="31" t="s">
        <v>265</v>
      </c>
      <c r="B470" s="31" t="s">
        <v>273</v>
      </c>
      <c r="C470" s="31" t="s">
        <v>258</v>
      </c>
      <c r="D470" s="31" t="s">
        <v>275</v>
      </c>
      <c r="E470" s="38">
        <v>42006</v>
      </c>
      <c r="F470" s="35">
        <v>7</v>
      </c>
      <c r="G470" s="35">
        <v>2904</v>
      </c>
      <c r="H470" s="46"/>
      <c r="I470" s="47"/>
    </row>
    <row r="471" spans="1:9" x14ac:dyDescent="0.25">
      <c r="A471" s="31" t="s">
        <v>264</v>
      </c>
      <c r="B471" s="31" t="s">
        <v>271</v>
      </c>
      <c r="C471" s="31" t="s">
        <v>257</v>
      </c>
      <c r="D471" s="31" t="s">
        <v>263</v>
      </c>
      <c r="E471" s="38">
        <v>42006</v>
      </c>
      <c r="F471" s="35">
        <v>12</v>
      </c>
      <c r="G471" s="35">
        <v>4538</v>
      </c>
      <c r="H471" s="46"/>
      <c r="I471" s="47"/>
    </row>
    <row r="472" spans="1:9" x14ac:dyDescent="0.25">
      <c r="A472" s="31" t="s">
        <v>265</v>
      </c>
      <c r="B472" s="31" t="s">
        <v>266</v>
      </c>
      <c r="C472" s="31" t="s">
        <v>260</v>
      </c>
      <c r="D472" s="31" t="s">
        <v>267</v>
      </c>
      <c r="E472" s="38">
        <v>42008</v>
      </c>
      <c r="F472" s="35">
        <v>8</v>
      </c>
      <c r="G472" s="35">
        <v>4114</v>
      </c>
      <c r="H472" s="46"/>
      <c r="I472" s="47"/>
    </row>
    <row r="473" spans="1:9" x14ac:dyDescent="0.25">
      <c r="A473" s="31" t="s">
        <v>276</v>
      </c>
      <c r="B473" s="31" t="s">
        <v>273</v>
      </c>
      <c r="C473" s="31" t="s">
        <v>257</v>
      </c>
      <c r="D473" s="31" t="s">
        <v>269</v>
      </c>
      <c r="E473" s="38">
        <v>42008</v>
      </c>
      <c r="F473" s="35">
        <v>17</v>
      </c>
      <c r="G473" s="35">
        <v>10104</v>
      </c>
      <c r="H473" s="46"/>
      <c r="I473" s="47"/>
    </row>
    <row r="474" spans="1:9" x14ac:dyDescent="0.25">
      <c r="A474" s="31" t="s">
        <v>276</v>
      </c>
      <c r="B474" s="31" t="s">
        <v>278</v>
      </c>
      <c r="C474" s="31" t="s">
        <v>257</v>
      </c>
      <c r="D474" s="31" t="s">
        <v>269</v>
      </c>
      <c r="E474" s="38">
        <v>42008</v>
      </c>
      <c r="F474" s="35">
        <v>17</v>
      </c>
      <c r="G474" s="35">
        <v>9136</v>
      </c>
      <c r="H474" s="46"/>
      <c r="I474" s="47"/>
    </row>
    <row r="475" spans="1:9" x14ac:dyDescent="0.25">
      <c r="A475" s="31" t="s">
        <v>264</v>
      </c>
      <c r="B475" s="31" t="s">
        <v>266</v>
      </c>
      <c r="C475" s="31" t="s">
        <v>257</v>
      </c>
      <c r="D475" s="31" t="s">
        <v>267</v>
      </c>
      <c r="E475" s="38">
        <v>42008</v>
      </c>
      <c r="F475" s="35">
        <v>9</v>
      </c>
      <c r="G475" s="35">
        <v>4169</v>
      </c>
      <c r="H475" s="46"/>
      <c r="I475" s="47"/>
    </row>
    <row r="476" spans="1:9" x14ac:dyDescent="0.25">
      <c r="A476" s="31" t="s">
        <v>281</v>
      </c>
      <c r="B476" s="31" t="s">
        <v>266</v>
      </c>
      <c r="C476" s="31" t="s">
        <v>257</v>
      </c>
      <c r="D476" s="31" t="s">
        <v>263</v>
      </c>
      <c r="E476" s="38">
        <v>42008</v>
      </c>
      <c r="F476" s="35">
        <v>16</v>
      </c>
      <c r="G476" s="35">
        <v>8333</v>
      </c>
      <c r="H476" s="46"/>
      <c r="I476" s="47"/>
    </row>
    <row r="477" spans="1:9" x14ac:dyDescent="0.25">
      <c r="A477" s="31" t="s">
        <v>261</v>
      </c>
      <c r="B477" s="31" t="s">
        <v>273</v>
      </c>
      <c r="C477" s="31" t="s">
        <v>259</v>
      </c>
      <c r="D477" s="31" t="s">
        <v>263</v>
      </c>
      <c r="E477" s="38">
        <v>42009</v>
      </c>
      <c r="F477" s="35">
        <v>12</v>
      </c>
      <c r="G477" s="35">
        <v>4862</v>
      </c>
      <c r="H477" s="46"/>
      <c r="I477" s="47"/>
    </row>
    <row r="478" spans="1:9" x14ac:dyDescent="0.25">
      <c r="A478" s="31" t="s">
        <v>274</v>
      </c>
      <c r="B478" s="31" t="s">
        <v>266</v>
      </c>
      <c r="C478" s="31" t="s">
        <v>260</v>
      </c>
      <c r="D478" s="31" t="s">
        <v>263</v>
      </c>
      <c r="E478" s="38">
        <v>42009</v>
      </c>
      <c r="F478" s="35">
        <v>8</v>
      </c>
      <c r="G478" s="35">
        <v>4290</v>
      </c>
      <c r="H478" s="46"/>
      <c r="I478" s="47"/>
    </row>
    <row r="479" spans="1:9" x14ac:dyDescent="0.25">
      <c r="A479" s="31" t="s">
        <v>268</v>
      </c>
      <c r="B479" s="31" t="s">
        <v>273</v>
      </c>
      <c r="C479" s="31" t="s">
        <v>259</v>
      </c>
      <c r="D479" s="31" t="s">
        <v>269</v>
      </c>
      <c r="E479" s="38">
        <v>42009</v>
      </c>
      <c r="F479" s="35">
        <v>7</v>
      </c>
      <c r="G479" s="35">
        <v>3201</v>
      </c>
      <c r="H479" s="46"/>
      <c r="I479" s="47"/>
    </row>
    <row r="480" spans="1:9" x14ac:dyDescent="0.25">
      <c r="A480" s="31" t="s">
        <v>261</v>
      </c>
      <c r="B480" s="31" t="s">
        <v>273</v>
      </c>
      <c r="C480" s="31" t="s">
        <v>260</v>
      </c>
      <c r="D480" s="31" t="s">
        <v>263</v>
      </c>
      <c r="E480" s="38">
        <v>42011</v>
      </c>
      <c r="F480" s="35">
        <v>2</v>
      </c>
      <c r="G480" s="35">
        <v>484</v>
      </c>
      <c r="H480" s="46"/>
      <c r="I480" s="47"/>
    </row>
    <row r="481" spans="1:9" x14ac:dyDescent="0.25">
      <c r="A481" s="31" t="s">
        <v>279</v>
      </c>
      <c r="B481" s="31" t="s">
        <v>273</v>
      </c>
      <c r="C481" s="31" t="s">
        <v>259</v>
      </c>
      <c r="D481" s="31" t="s">
        <v>269</v>
      </c>
      <c r="E481" s="38">
        <v>42012</v>
      </c>
      <c r="F481" s="35">
        <v>14</v>
      </c>
      <c r="G481" s="35">
        <v>4808</v>
      </c>
      <c r="H481" s="46"/>
      <c r="I481" s="47"/>
    </row>
    <row r="482" spans="1:9" x14ac:dyDescent="0.25">
      <c r="A482" s="31" t="s">
        <v>274</v>
      </c>
      <c r="B482" s="31" t="s">
        <v>278</v>
      </c>
      <c r="C482" s="31" t="s">
        <v>258</v>
      </c>
      <c r="D482" s="31" t="s">
        <v>267</v>
      </c>
      <c r="E482" s="38">
        <v>42012</v>
      </c>
      <c r="F482" s="35">
        <v>13</v>
      </c>
      <c r="G482" s="35">
        <v>4065</v>
      </c>
      <c r="H482" s="46"/>
      <c r="I482" s="47"/>
    </row>
    <row r="483" spans="1:9" x14ac:dyDescent="0.25">
      <c r="A483" s="31" t="s">
        <v>274</v>
      </c>
      <c r="B483" s="31" t="s">
        <v>271</v>
      </c>
      <c r="C483" s="31" t="s">
        <v>258</v>
      </c>
      <c r="D483" s="31" t="s">
        <v>263</v>
      </c>
      <c r="E483" s="38">
        <v>42012</v>
      </c>
      <c r="F483" s="35">
        <v>2</v>
      </c>
      <c r="G483" s="35">
        <v>380</v>
      </c>
      <c r="H483" s="46"/>
      <c r="I483" s="47"/>
    </row>
    <row r="484" spans="1:9" x14ac:dyDescent="0.25">
      <c r="A484" s="31" t="s">
        <v>276</v>
      </c>
      <c r="B484" s="31" t="s">
        <v>271</v>
      </c>
      <c r="C484" s="31" t="s">
        <v>259</v>
      </c>
      <c r="D484" s="31" t="s">
        <v>263</v>
      </c>
      <c r="E484" s="38">
        <v>42012</v>
      </c>
      <c r="F484" s="35">
        <v>16</v>
      </c>
      <c r="G484" s="35">
        <v>9339</v>
      </c>
      <c r="H484" s="46"/>
      <c r="I484" s="47"/>
    </row>
    <row r="485" spans="1:9" x14ac:dyDescent="0.25">
      <c r="A485" s="31" t="s">
        <v>276</v>
      </c>
      <c r="B485" s="31" t="s">
        <v>273</v>
      </c>
      <c r="C485" s="31" t="s">
        <v>259</v>
      </c>
      <c r="D485" s="31" t="s">
        <v>267</v>
      </c>
      <c r="E485" s="38">
        <v>42012</v>
      </c>
      <c r="F485" s="35">
        <v>16</v>
      </c>
      <c r="G485" s="35">
        <v>8333</v>
      </c>
      <c r="H485" s="46"/>
      <c r="I485" s="47"/>
    </row>
    <row r="486" spans="1:9" x14ac:dyDescent="0.25">
      <c r="A486" s="31" t="s">
        <v>268</v>
      </c>
      <c r="B486" s="31" t="s">
        <v>266</v>
      </c>
      <c r="C486" s="31" t="s">
        <v>260</v>
      </c>
      <c r="D486" s="31" t="s">
        <v>269</v>
      </c>
      <c r="E486" s="38">
        <v>42014</v>
      </c>
      <c r="F486" s="35">
        <v>7</v>
      </c>
      <c r="G486" s="35">
        <v>2475</v>
      </c>
      <c r="H486" s="46"/>
      <c r="I486" s="47"/>
    </row>
    <row r="487" spans="1:9" x14ac:dyDescent="0.25">
      <c r="A487" s="31" t="s">
        <v>279</v>
      </c>
      <c r="B487" s="31" t="s">
        <v>262</v>
      </c>
      <c r="C487" s="31" t="s">
        <v>258</v>
      </c>
      <c r="D487" s="31" t="s">
        <v>263</v>
      </c>
      <c r="E487" s="38">
        <v>42014</v>
      </c>
      <c r="F487" s="35">
        <v>14</v>
      </c>
      <c r="G487" s="35">
        <v>6908</v>
      </c>
      <c r="H487" s="46"/>
      <c r="I487" s="47"/>
    </row>
    <row r="488" spans="1:9" x14ac:dyDescent="0.25">
      <c r="A488" s="31" t="s">
        <v>270</v>
      </c>
      <c r="B488" s="31" t="s">
        <v>273</v>
      </c>
      <c r="C488" s="31" t="s">
        <v>257</v>
      </c>
      <c r="D488" s="31" t="s">
        <v>267</v>
      </c>
      <c r="E488" s="38">
        <v>42015</v>
      </c>
      <c r="F488" s="35">
        <v>16</v>
      </c>
      <c r="G488" s="35">
        <v>7673</v>
      </c>
      <c r="H488" s="46"/>
      <c r="I488" s="47"/>
    </row>
    <row r="489" spans="1:9" x14ac:dyDescent="0.25">
      <c r="A489" s="31" t="s">
        <v>281</v>
      </c>
      <c r="B489" s="31" t="s">
        <v>262</v>
      </c>
      <c r="C489" s="31" t="s">
        <v>260</v>
      </c>
      <c r="D489" s="31" t="s">
        <v>282</v>
      </c>
      <c r="E489" s="38">
        <v>42015</v>
      </c>
      <c r="F489" s="35">
        <v>13</v>
      </c>
      <c r="G489" s="35">
        <v>7854</v>
      </c>
      <c r="H489" s="46"/>
      <c r="I489" s="47"/>
    </row>
    <row r="490" spans="1:9" x14ac:dyDescent="0.25">
      <c r="A490" s="31" t="s">
        <v>265</v>
      </c>
      <c r="B490" s="31" t="s">
        <v>262</v>
      </c>
      <c r="C490" s="31" t="s">
        <v>259</v>
      </c>
      <c r="D490" s="31" t="s">
        <v>263</v>
      </c>
      <c r="E490" s="38">
        <v>42015</v>
      </c>
      <c r="F490" s="35">
        <v>3</v>
      </c>
      <c r="G490" s="35">
        <v>869</v>
      </c>
      <c r="H490" s="46"/>
      <c r="I490" s="47"/>
    </row>
    <row r="491" spans="1:9" x14ac:dyDescent="0.25">
      <c r="A491" s="31" t="s">
        <v>274</v>
      </c>
      <c r="B491" s="31" t="s">
        <v>271</v>
      </c>
      <c r="C491" s="31" t="s">
        <v>260</v>
      </c>
      <c r="D491" s="31" t="s">
        <v>275</v>
      </c>
      <c r="E491" s="38">
        <v>42016</v>
      </c>
      <c r="F491" s="35">
        <v>11</v>
      </c>
      <c r="G491" s="35">
        <v>5236</v>
      </c>
      <c r="H491" s="46"/>
      <c r="I491" s="47"/>
    </row>
    <row r="492" spans="1:9" x14ac:dyDescent="0.25">
      <c r="A492" s="31" t="s">
        <v>272</v>
      </c>
      <c r="B492" s="31" t="s">
        <v>278</v>
      </c>
      <c r="C492" s="31" t="s">
        <v>257</v>
      </c>
      <c r="D492" s="31" t="s">
        <v>269</v>
      </c>
      <c r="E492" s="38">
        <v>42016</v>
      </c>
      <c r="F492" s="35">
        <v>9</v>
      </c>
      <c r="G492" s="35">
        <v>3242</v>
      </c>
      <c r="H492" s="46"/>
      <c r="I492" s="47"/>
    </row>
    <row r="493" spans="1:9" x14ac:dyDescent="0.25">
      <c r="A493" s="31" t="s">
        <v>270</v>
      </c>
      <c r="B493" s="31" t="s">
        <v>278</v>
      </c>
      <c r="C493" s="31" t="s">
        <v>258</v>
      </c>
      <c r="D493" s="31" t="s">
        <v>267</v>
      </c>
      <c r="E493" s="38">
        <v>42016</v>
      </c>
      <c r="F493" s="35">
        <v>3</v>
      </c>
      <c r="G493" s="35">
        <v>743</v>
      </c>
      <c r="H493" s="46"/>
      <c r="I493" s="47"/>
    </row>
    <row r="494" spans="1:9" x14ac:dyDescent="0.25">
      <c r="A494" s="31" t="s">
        <v>279</v>
      </c>
      <c r="B494" s="31" t="s">
        <v>262</v>
      </c>
      <c r="C494" s="31" t="s">
        <v>259</v>
      </c>
      <c r="D494" s="31" t="s">
        <v>263</v>
      </c>
      <c r="E494" s="38">
        <v>42019</v>
      </c>
      <c r="F494" s="35">
        <v>9</v>
      </c>
      <c r="G494" s="35">
        <v>4928</v>
      </c>
      <c r="H494" s="46"/>
      <c r="I494" s="47"/>
    </row>
    <row r="495" spans="1:9" x14ac:dyDescent="0.25">
      <c r="A495" s="31" t="s">
        <v>277</v>
      </c>
      <c r="B495" s="31" t="s">
        <v>278</v>
      </c>
      <c r="C495" s="31" t="s">
        <v>257</v>
      </c>
      <c r="D495" s="31" t="s">
        <v>282</v>
      </c>
      <c r="E495" s="38">
        <v>42019</v>
      </c>
      <c r="F495" s="35">
        <v>15</v>
      </c>
      <c r="G495" s="35">
        <v>5885</v>
      </c>
      <c r="H495" s="46"/>
      <c r="I495" s="47"/>
    </row>
    <row r="496" spans="1:9" x14ac:dyDescent="0.25">
      <c r="A496" s="31" t="s">
        <v>272</v>
      </c>
      <c r="B496" s="31" t="s">
        <v>266</v>
      </c>
      <c r="C496" s="31" t="s">
        <v>258</v>
      </c>
      <c r="D496" s="31" t="s">
        <v>267</v>
      </c>
      <c r="E496" s="38">
        <v>42019</v>
      </c>
      <c r="F496" s="35">
        <v>4</v>
      </c>
      <c r="G496" s="35">
        <v>1810</v>
      </c>
      <c r="H496" s="46"/>
      <c r="I496" s="47"/>
    </row>
    <row r="497" spans="1:9" x14ac:dyDescent="0.25">
      <c r="A497" s="31" t="s">
        <v>261</v>
      </c>
      <c r="B497" s="31" t="s">
        <v>266</v>
      </c>
      <c r="C497" s="31" t="s">
        <v>258</v>
      </c>
      <c r="D497" s="31" t="s">
        <v>282</v>
      </c>
      <c r="E497" s="38">
        <v>42020</v>
      </c>
      <c r="F497" s="35">
        <v>11</v>
      </c>
      <c r="G497" s="35">
        <v>6424</v>
      </c>
      <c r="H497" s="46"/>
      <c r="I497" s="47"/>
    </row>
    <row r="498" spans="1:9" x14ac:dyDescent="0.25">
      <c r="A498" s="31" t="s">
        <v>277</v>
      </c>
      <c r="B498" s="31" t="s">
        <v>266</v>
      </c>
      <c r="C498" s="31" t="s">
        <v>260</v>
      </c>
      <c r="D498" s="31" t="s">
        <v>269</v>
      </c>
      <c r="E498" s="38">
        <v>42022</v>
      </c>
      <c r="F498" s="35">
        <v>16</v>
      </c>
      <c r="G498" s="35">
        <v>5099</v>
      </c>
      <c r="H498" s="46"/>
      <c r="I498" s="47"/>
    </row>
    <row r="499" spans="1:9" x14ac:dyDescent="0.25">
      <c r="A499" s="31" t="s">
        <v>272</v>
      </c>
      <c r="B499" s="31" t="s">
        <v>271</v>
      </c>
      <c r="C499" s="31" t="s">
        <v>260</v>
      </c>
      <c r="D499" s="31" t="s">
        <v>275</v>
      </c>
      <c r="E499" s="38">
        <v>42022</v>
      </c>
      <c r="F499" s="35">
        <v>12</v>
      </c>
      <c r="G499" s="35">
        <v>6353</v>
      </c>
      <c r="H499" s="46"/>
      <c r="I499" s="47"/>
    </row>
    <row r="500" spans="1:9" x14ac:dyDescent="0.25">
      <c r="A500" s="31" t="s">
        <v>274</v>
      </c>
      <c r="B500" s="31" t="s">
        <v>278</v>
      </c>
      <c r="C500" s="31" t="s">
        <v>257</v>
      </c>
      <c r="D500" s="31" t="s">
        <v>263</v>
      </c>
      <c r="E500" s="38">
        <v>42023</v>
      </c>
      <c r="F500" s="35">
        <v>11</v>
      </c>
      <c r="G500" s="35">
        <v>3773</v>
      </c>
      <c r="H500" s="46"/>
      <c r="I500" s="47"/>
    </row>
    <row r="501" spans="1:9" x14ac:dyDescent="0.25">
      <c r="A501" s="31" t="s">
        <v>276</v>
      </c>
      <c r="B501" s="31" t="s">
        <v>273</v>
      </c>
      <c r="C501" s="31" t="s">
        <v>259</v>
      </c>
      <c r="D501" s="31" t="s">
        <v>275</v>
      </c>
      <c r="E501" s="38">
        <v>42025</v>
      </c>
      <c r="F501" s="35">
        <v>12</v>
      </c>
      <c r="G501" s="35">
        <v>4015</v>
      </c>
      <c r="H501" s="46"/>
      <c r="I501" s="47"/>
    </row>
    <row r="502" spans="1:9" x14ac:dyDescent="0.25">
      <c r="A502" s="31" t="s">
        <v>280</v>
      </c>
      <c r="B502" s="31" t="s">
        <v>262</v>
      </c>
      <c r="C502" s="31" t="s">
        <v>257</v>
      </c>
      <c r="D502" s="31" t="s">
        <v>275</v>
      </c>
      <c r="E502" s="38">
        <v>42026</v>
      </c>
      <c r="F502" s="35">
        <v>16</v>
      </c>
      <c r="G502" s="35">
        <v>9257</v>
      </c>
      <c r="H502" s="46"/>
      <c r="I502" s="47"/>
    </row>
    <row r="503" spans="1:9" x14ac:dyDescent="0.25">
      <c r="A503" s="31" t="s">
        <v>279</v>
      </c>
      <c r="B503" s="31" t="s">
        <v>266</v>
      </c>
      <c r="C503" s="31" t="s">
        <v>258</v>
      </c>
      <c r="D503" s="31" t="s">
        <v>282</v>
      </c>
      <c r="E503" s="38">
        <v>42026</v>
      </c>
      <c r="F503" s="35">
        <v>12</v>
      </c>
      <c r="G503" s="35">
        <v>6474</v>
      </c>
      <c r="H503" s="46"/>
      <c r="I503" s="47"/>
    </row>
    <row r="504" spans="1:9" x14ac:dyDescent="0.25">
      <c r="A504" s="31" t="s">
        <v>279</v>
      </c>
      <c r="B504" s="31" t="s">
        <v>266</v>
      </c>
      <c r="C504" s="31" t="s">
        <v>258</v>
      </c>
      <c r="D504" s="31" t="s">
        <v>267</v>
      </c>
      <c r="E504" s="38">
        <v>42026</v>
      </c>
      <c r="F504" s="35">
        <v>3</v>
      </c>
      <c r="G504" s="35">
        <v>935</v>
      </c>
      <c r="H504" s="46"/>
      <c r="I504" s="47"/>
    </row>
    <row r="505" spans="1:9" x14ac:dyDescent="0.25">
      <c r="A505" s="31" t="s">
        <v>268</v>
      </c>
      <c r="B505" s="31" t="s">
        <v>271</v>
      </c>
      <c r="C505" s="31" t="s">
        <v>259</v>
      </c>
      <c r="D505" s="31" t="s">
        <v>275</v>
      </c>
      <c r="E505" s="38">
        <v>42027</v>
      </c>
      <c r="F505" s="35">
        <v>9</v>
      </c>
      <c r="G505" s="35">
        <v>3817</v>
      </c>
      <c r="H505" s="46"/>
      <c r="I505" s="47"/>
    </row>
    <row r="506" spans="1:9" x14ac:dyDescent="0.25">
      <c r="A506" s="31" t="s">
        <v>265</v>
      </c>
      <c r="B506" s="31" t="s">
        <v>271</v>
      </c>
      <c r="C506" s="31" t="s">
        <v>259</v>
      </c>
      <c r="D506" s="31" t="s">
        <v>269</v>
      </c>
      <c r="E506" s="38">
        <v>42027</v>
      </c>
      <c r="F506" s="35">
        <v>18</v>
      </c>
      <c r="G506" s="35">
        <v>8003</v>
      </c>
      <c r="H506" s="46"/>
      <c r="I506" s="47"/>
    </row>
    <row r="507" spans="1:9" x14ac:dyDescent="0.25">
      <c r="A507" s="31" t="s">
        <v>265</v>
      </c>
      <c r="B507" s="31" t="s">
        <v>273</v>
      </c>
      <c r="C507" s="31" t="s">
        <v>259</v>
      </c>
      <c r="D507" s="31" t="s">
        <v>267</v>
      </c>
      <c r="E507" s="38">
        <v>42028</v>
      </c>
      <c r="F507" s="35">
        <v>10</v>
      </c>
      <c r="G507" s="35">
        <v>4928</v>
      </c>
      <c r="H507" s="46"/>
      <c r="I507" s="47"/>
    </row>
    <row r="508" spans="1:9" x14ac:dyDescent="0.25">
      <c r="A508" s="31" t="s">
        <v>274</v>
      </c>
      <c r="B508" s="31" t="s">
        <v>278</v>
      </c>
      <c r="C508" s="31" t="s">
        <v>258</v>
      </c>
      <c r="D508" s="31" t="s">
        <v>282</v>
      </c>
      <c r="E508" s="38">
        <v>42028</v>
      </c>
      <c r="F508" s="35">
        <v>3</v>
      </c>
      <c r="G508" s="35">
        <v>1117</v>
      </c>
      <c r="H508" s="46"/>
      <c r="I508" s="47"/>
    </row>
    <row r="509" spans="1:9" x14ac:dyDescent="0.25">
      <c r="A509" s="31" t="s">
        <v>265</v>
      </c>
      <c r="B509" s="31" t="s">
        <v>266</v>
      </c>
      <c r="C509" s="31" t="s">
        <v>259</v>
      </c>
      <c r="D509" s="31" t="s">
        <v>263</v>
      </c>
      <c r="E509" s="38">
        <v>42029</v>
      </c>
      <c r="F509" s="35">
        <v>16</v>
      </c>
      <c r="G509" s="35">
        <v>8762</v>
      </c>
      <c r="H509" s="46"/>
      <c r="I509" s="47"/>
    </row>
    <row r="510" spans="1:9" x14ac:dyDescent="0.25">
      <c r="A510" s="31" t="s">
        <v>274</v>
      </c>
      <c r="B510" s="31" t="s">
        <v>273</v>
      </c>
      <c r="C510" s="31" t="s">
        <v>260</v>
      </c>
      <c r="D510" s="31" t="s">
        <v>267</v>
      </c>
      <c r="E510" s="38">
        <v>42030</v>
      </c>
      <c r="F510" s="35">
        <v>5</v>
      </c>
      <c r="G510" s="35">
        <v>1441</v>
      </c>
      <c r="H510" s="46"/>
      <c r="I510" s="47"/>
    </row>
    <row r="511" spans="1:9" x14ac:dyDescent="0.25">
      <c r="A511" s="31" t="s">
        <v>281</v>
      </c>
      <c r="B511" s="31" t="s">
        <v>271</v>
      </c>
      <c r="C511" s="31" t="s">
        <v>259</v>
      </c>
      <c r="D511" s="31" t="s">
        <v>267</v>
      </c>
      <c r="E511" s="38">
        <v>42030</v>
      </c>
      <c r="F511" s="35">
        <v>16</v>
      </c>
      <c r="G511" s="35">
        <v>6551</v>
      </c>
      <c r="H511" s="46"/>
      <c r="I511" s="47"/>
    </row>
    <row r="512" spans="1:9" x14ac:dyDescent="0.25">
      <c r="A512" s="31" t="s">
        <v>265</v>
      </c>
      <c r="B512" s="31" t="s">
        <v>273</v>
      </c>
      <c r="C512" s="31" t="s">
        <v>257</v>
      </c>
      <c r="D512" s="31" t="s">
        <v>269</v>
      </c>
      <c r="E512" s="38">
        <v>42032</v>
      </c>
      <c r="F512" s="35">
        <v>14</v>
      </c>
      <c r="G512" s="35">
        <v>6175</v>
      </c>
      <c r="H512" s="46"/>
      <c r="I512" s="47"/>
    </row>
    <row r="513" spans="1:9" x14ac:dyDescent="0.25">
      <c r="A513" s="31" t="s">
        <v>261</v>
      </c>
      <c r="B513" s="31" t="s">
        <v>278</v>
      </c>
      <c r="C513" s="31" t="s">
        <v>258</v>
      </c>
      <c r="D513" s="31" t="s">
        <v>275</v>
      </c>
      <c r="E513" s="38">
        <v>42032</v>
      </c>
      <c r="F513" s="35">
        <v>2</v>
      </c>
      <c r="G513" s="35">
        <v>391</v>
      </c>
      <c r="H513" s="46"/>
      <c r="I513" s="47"/>
    </row>
    <row r="514" spans="1:9" x14ac:dyDescent="0.25">
      <c r="A514" s="31" t="s">
        <v>281</v>
      </c>
      <c r="B514" s="31" t="s">
        <v>278</v>
      </c>
      <c r="C514" s="31" t="s">
        <v>260</v>
      </c>
      <c r="D514" s="31" t="s">
        <v>275</v>
      </c>
      <c r="E514" s="38">
        <v>42032</v>
      </c>
      <c r="F514" s="35">
        <v>9</v>
      </c>
      <c r="G514" s="35">
        <v>5247</v>
      </c>
      <c r="H514" s="46"/>
      <c r="I514" s="47"/>
    </row>
    <row r="515" spans="1:9" x14ac:dyDescent="0.25">
      <c r="A515" s="31" t="s">
        <v>276</v>
      </c>
      <c r="B515" s="31" t="s">
        <v>273</v>
      </c>
      <c r="C515" s="31" t="s">
        <v>257</v>
      </c>
      <c r="D515" s="31" t="s">
        <v>275</v>
      </c>
      <c r="E515" s="38">
        <v>42032</v>
      </c>
      <c r="F515" s="35">
        <v>14</v>
      </c>
      <c r="G515" s="35">
        <v>8025</v>
      </c>
      <c r="H515" s="46"/>
      <c r="I515" s="47"/>
    </row>
    <row r="516" spans="1:9" x14ac:dyDescent="0.25">
      <c r="A516" s="31" t="s">
        <v>264</v>
      </c>
      <c r="B516" s="31" t="s">
        <v>262</v>
      </c>
      <c r="C516" s="31" t="s">
        <v>257</v>
      </c>
      <c r="D516" s="31" t="s">
        <v>269</v>
      </c>
      <c r="E516" s="38">
        <v>42033</v>
      </c>
      <c r="F516" s="35">
        <v>14</v>
      </c>
      <c r="G516" s="35">
        <v>8097</v>
      </c>
      <c r="H516" s="46"/>
      <c r="I516" s="47"/>
    </row>
    <row r="517" spans="1:9" x14ac:dyDescent="0.25">
      <c r="A517" s="31" t="s">
        <v>277</v>
      </c>
      <c r="B517" s="31" t="s">
        <v>262</v>
      </c>
      <c r="C517" s="31" t="s">
        <v>257</v>
      </c>
      <c r="D517" s="31" t="s">
        <v>269</v>
      </c>
      <c r="E517" s="38">
        <v>42034</v>
      </c>
      <c r="F517" s="35">
        <v>13</v>
      </c>
      <c r="G517" s="35">
        <v>5864</v>
      </c>
      <c r="H517" s="46"/>
      <c r="I517" s="47"/>
    </row>
    <row r="518" spans="1:9" x14ac:dyDescent="0.25">
      <c r="A518" s="31" t="s">
        <v>280</v>
      </c>
      <c r="B518" s="31" t="s">
        <v>273</v>
      </c>
      <c r="C518" s="31" t="s">
        <v>257</v>
      </c>
      <c r="D518" s="31" t="s">
        <v>263</v>
      </c>
      <c r="E518" s="38">
        <v>42034</v>
      </c>
      <c r="F518" s="35">
        <v>7</v>
      </c>
      <c r="G518" s="35">
        <v>2250</v>
      </c>
      <c r="H518" s="46"/>
      <c r="I518" s="47"/>
    </row>
    <row r="519" spans="1:9" x14ac:dyDescent="0.25">
      <c r="A519" s="31" t="s">
        <v>274</v>
      </c>
      <c r="B519" s="31" t="s">
        <v>262</v>
      </c>
      <c r="C519" s="31" t="s">
        <v>259</v>
      </c>
      <c r="D519" s="31" t="s">
        <v>263</v>
      </c>
      <c r="E519" s="38">
        <v>42034</v>
      </c>
      <c r="F519" s="35">
        <v>10</v>
      </c>
      <c r="G519" s="35">
        <v>3328</v>
      </c>
      <c r="H519" s="46"/>
      <c r="I519" s="47"/>
    </row>
    <row r="520" spans="1:9" x14ac:dyDescent="0.25">
      <c r="A520" s="31" t="s">
        <v>268</v>
      </c>
      <c r="B520" s="31" t="s">
        <v>262</v>
      </c>
      <c r="C520" s="31" t="s">
        <v>258</v>
      </c>
      <c r="D520" s="31" t="s">
        <v>282</v>
      </c>
      <c r="E520" s="38">
        <v>42035</v>
      </c>
      <c r="F520" s="35">
        <v>15</v>
      </c>
      <c r="G520" s="35">
        <v>9053</v>
      </c>
      <c r="H520" s="46"/>
      <c r="I520" s="47"/>
    </row>
    <row r="521" spans="1:9" x14ac:dyDescent="0.25">
      <c r="A521" s="31" t="s">
        <v>272</v>
      </c>
      <c r="B521" s="31" t="s">
        <v>278</v>
      </c>
      <c r="C521" s="31" t="s">
        <v>257</v>
      </c>
      <c r="D521" s="31" t="s">
        <v>282</v>
      </c>
      <c r="E521" s="38">
        <v>42035</v>
      </c>
      <c r="F521" s="35">
        <v>4</v>
      </c>
      <c r="G521" s="35">
        <v>1084</v>
      </c>
      <c r="H521" s="46"/>
      <c r="I521" s="47"/>
    </row>
    <row r="522" spans="1:9" x14ac:dyDescent="0.25">
      <c r="A522" s="31" t="s">
        <v>277</v>
      </c>
      <c r="B522" s="31" t="s">
        <v>266</v>
      </c>
      <c r="C522" s="31" t="s">
        <v>260</v>
      </c>
      <c r="D522" s="31" t="s">
        <v>275</v>
      </c>
      <c r="E522" s="38">
        <v>42036</v>
      </c>
      <c r="F522" s="35">
        <v>7</v>
      </c>
      <c r="G522" s="35">
        <v>3509</v>
      </c>
      <c r="H522" s="46"/>
      <c r="I522" s="47"/>
    </row>
    <row r="523" spans="1:9" x14ac:dyDescent="0.25">
      <c r="A523" s="31" t="s">
        <v>261</v>
      </c>
      <c r="B523" s="31" t="s">
        <v>278</v>
      </c>
      <c r="C523" s="31" t="s">
        <v>260</v>
      </c>
      <c r="D523" s="31" t="s">
        <v>275</v>
      </c>
      <c r="E523" s="38">
        <v>42036</v>
      </c>
      <c r="F523" s="35">
        <v>2</v>
      </c>
      <c r="G523" s="35">
        <v>391</v>
      </c>
      <c r="H523" s="46"/>
      <c r="I523" s="47"/>
    </row>
    <row r="524" spans="1:9" x14ac:dyDescent="0.25">
      <c r="A524" s="31" t="s">
        <v>281</v>
      </c>
      <c r="B524" s="31" t="s">
        <v>273</v>
      </c>
      <c r="C524" s="31" t="s">
        <v>260</v>
      </c>
      <c r="D524" s="31" t="s">
        <v>267</v>
      </c>
      <c r="E524" s="38">
        <v>42040</v>
      </c>
      <c r="F524" s="35">
        <v>15</v>
      </c>
      <c r="G524" s="35">
        <v>8349</v>
      </c>
      <c r="H524" s="46"/>
      <c r="I524" s="47"/>
    </row>
    <row r="525" spans="1:9" x14ac:dyDescent="0.25">
      <c r="A525" s="31" t="s">
        <v>276</v>
      </c>
      <c r="B525" s="31" t="s">
        <v>266</v>
      </c>
      <c r="C525" s="31" t="s">
        <v>257</v>
      </c>
      <c r="D525" s="31" t="s">
        <v>275</v>
      </c>
      <c r="E525" s="38">
        <v>42040</v>
      </c>
      <c r="F525" s="35">
        <v>12</v>
      </c>
      <c r="G525" s="35">
        <v>4065</v>
      </c>
      <c r="H525" s="46"/>
      <c r="I525" s="47"/>
    </row>
    <row r="526" spans="1:9" x14ac:dyDescent="0.25">
      <c r="A526" s="31" t="s">
        <v>261</v>
      </c>
      <c r="B526" s="31" t="s">
        <v>262</v>
      </c>
      <c r="C526" s="31" t="s">
        <v>257</v>
      </c>
      <c r="D526" s="31" t="s">
        <v>275</v>
      </c>
      <c r="E526" s="38">
        <v>42040</v>
      </c>
      <c r="F526" s="35">
        <v>8</v>
      </c>
      <c r="G526" s="35">
        <v>2327</v>
      </c>
      <c r="H526" s="46"/>
      <c r="I526" s="47"/>
    </row>
    <row r="527" spans="1:9" x14ac:dyDescent="0.25">
      <c r="A527" s="31" t="s">
        <v>261</v>
      </c>
      <c r="B527" s="31" t="s">
        <v>273</v>
      </c>
      <c r="C527" s="31" t="s">
        <v>260</v>
      </c>
      <c r="D527" s="31" t="s">
        <v>263</v>
      </c>
      <c r="E527" s="38">
        <v>42040</v>
      </c>
      <c r="F527" s="35">
        <v>8</v>
      </c>
      <c r="G527" s="35">
        <v>4213</v>
      </c>
      <c r="H527" s="46"/>
      <c r="I527" s="47"/>
    </row>
    <row r="528" spans="1:9" x14ac:dyDescent="0.25">
      <c r="A528" s="31" t="s">
        <v>272</v>
      </c>
      <c r="B528" s="31" t="s">
        <v>262</v>
      </c>
      <c r="C528" s="31" t="s">
        <v>257</v>
      </c>
      <c r="D528" s="31" t="s">
        <v>269</v>
      </c>
      <c r="E528" s="38">
        <v>42040</v>
      </c>
      <c r="F528" s="35">
        <v>12</v>
      </c>
      <c r="G528" s="35">
        <v>6181</v>
      </c>
      <c r="H528" s="46"/>
      <c r="I528" s="47"/>
    </row>
    <row r="529" spans="1:9" x14ac:dyDescent="0.25">
      <c r="A529" s="31" t="s">
        <v>274</v>
      </c>
      <c r="B529" s="31" t="s">
        <v>273</v>
      </c>
      <c r="C529" s="31" t="s">
        <v>257</v>
      </c>
      <c r="D529" s="31" t="s">
        <v>269</v>
      </c>
      <c r="E529" s="38">
        <v>42046</v>
      </c>
      <c r="F529" s="35">
        <v>15</v>
      </c>
      <c r="G529" s="35">
        <v>4638</v>
      </c>
      <c r="H529" s="46"/>
      <c r="I529" s="47"/>
    </row>
    <row r="530" spans="1:9" x14ac:dyDescent="0.25">
      <c r="A530" s="31" t="s">
        <v>264</v>
      </c>
      <c r="B530" s="31" t="s">
        <v>271</v>
      </c>
      <c r="C530" s="31" t="s">
        <v>257</v>
      </c>
      <c r="D530" s="31" t="s">
        <v>263</v>
      </c>
      <c r="E530" s="38">
        <v>42047</v>
      </c>
      <c r="F530" s="35">
        <v>16</v>
      </c>
      <c r="G530" s="35">
        <v>8432</v>
      </c>
      <c r="H530" s="46"/>
      <c r="I530" s="47"/>
    </row>
    <row r="531" spans="1:9" x14ac:dyDescent="0.25">
      <c r="A531" s="31" t="s">
        <v>280</v>
      </c>
      <c r="B531" s="31" t="s">
        <v>271</v>
      </c>
      <c r="C531" s="31" t="s">
        <v>260</v>
      </c>
      <c r="D531" s="31" t="s">
        <v>275</v>
      </c>
      <c r="E531" s="38">
        <v>42047</v>
      </c>
      <c r="F531" s="35">
        <v>3</v>
      </c>
      <c r="G531" s="35">
        <v>1029</v>
      </c>
      <c r="H531" s="46"/>
      <c r="I531" s="47"/>
    </row>
    <row r="532" spans="1:9" x14ac:dyDescent="0.25">
      <c r="A532" s="31" t="s">
        <v>276</v>
      </c>
      <c r="B532" s="31" t="s">
        <v>271</v>
      </c>
      <c r="C532" s="31" t="s">
        <v>260</v>
      </c>
      <c r="D532" s="31" t="s">
        <v>267</v>
      </c>
      <c r="E532" s="38">
        <v>42048</v>
      </c>
      <c r="F532" s="35">
        <v>8</v>
      </c>
      <c r="G532" s="35">
        <v>2503</v>
      </c>
      <c r="H532" s="46"/>
      <c r="I532" s="47"/>
    </row>
    <row r="533" spans="1:9" x14ac:dyDescent="0.25">
      <c r="A533" s="31" t="s">
        <v>276</v>
      </c>
      <c r="B533" s="31" t="s">
        <v>266</v>
      </c>
      <c r="C533" s="31" t="s">
        <v>259</v>
      </c>
      <c r="D533" s="31" t="s">
        <v>282</v>
      </c>
      <c r="E533" s="38">
        <v>42049</v>
      </c>
      <c r="F533" s="35">
        <v>5</v>
      </c>
      <c r="G533" s="35">
        <v>1821</v>
      </c>
      <c r="H533" s="46"/>
      <c r="I533" s="47"/>
    </row>
    <row r="534" spans="1:9" x14ac:dyDescent="0.25">
      <c r="A534" s="31" t="s">
        <v>268</v>
      </c>
      <c r="B534" s="31" t="s">
        <v>266</v>
      </c>
      <c r="C534" s="31" t="s">
        <v>258</v>
      </c>
      <c r="D534" s="31" t="s">
        <v>263</v>
      </c>
      <c r="E534" s="38">
        <v>42051</v>
      </c>
      <c r="F534" s="35">
        <v>14</v>
      </c>
      <c r="G534" s="35">
        <v>5121</v>
      </c>
      <c r="H534" s="46"/>
      <c r="I534" s="47"/>
    </row>
    <row r="535" spans="1:9" x14ac:dyDescent="0.25">
      <c r="A535" s="31" t="s">
        <v>270</v>
      </c>
      <c r="B535" s="31" t="s">
        <v>262</v>
      </c>
      <c r="C535" s="31" t="s">
        <v>258</v>
      </c>
      <c r="D535" s="31" t="s">
        <v>269</v>
      </c>
      <c r="E535" s="38">
        <v>42051</v>
      </c>
      <c r="F535" s="35">
        <v>20</v>
      </c>
      <c r="G535" s="35">
        <v>6270</v>
      </c>
      <c r="H535" s="46"/>
      <c r="I535" s="47"/>
    </row>
    <row r="536" spans="1:9" x14ac:dyDescent="0.25">
      <c r="A536" s="31" t="s">
        <v>268</v>
      </c>
      <c r="B536" s="31" t="s">
        <v>278</v>
      </c>
      <c r="C536" s="31" t="s">
        <v>258</v>
      </c>
      <c r="D536" s="31" t="s">
        <v>267</v>
      </c>
      <c r="E536" s="38">
        <v>42051</v>
      </c>
      <c r="F536" s="35">
        <v>4</v>
      </c>
      <c r="G536" s="35">
        <v>1799</v>
      </c>
      <c r="H536" s="46"/>
      <c r="I536" s="47"/>
    </row>
    <row r="537" spans="1:9" x14ac:dyDescent="0.25">
      <c r="A537" s="31" t="s">
        <v>276</v>
      </c>
      <c r="B537" s="31" t="s">
        <v>271</v>
      </c>
      <c r="C537" s="31" t="s">
        <v>258</v>
      </c>
      <c r="D537" s="31" t="s">
        <v>267</v>
      </c>
      <c r="E537" s="38">
        <v>42051</v>
      </c>
      <c r="F537" s="35">
        <v>7</v>
      </c>
      <c r="G537" s="35">
        <v>2283</v>
      </c>
      <c r="H537" s="46"/>
      <c r="I537" s="47"/>
    </row>
    <row r="538" spans="1:9" x14ac:dyDescent="0.25">
      <c r="A538" s="31" t="s">
        <v>276</v>
      </c>
      <c r="B538" s="31" t="s">
        <v>262</v>
      </c>
      <c r="C538" s="31" t="s">
        <v>258</v>
      </c>
      <c r="D538" s="31" t="s">
        <v>267</v>
      </c>
      <c r="E538" s="38">
        <v>42053</v>
      </c>
      <c r="F538" s="35">
        <v>12</v>
      </c>
      <c r="G538" s="35">
        <v>6738</v>
      </c>
      <c r="H538" s="46"/>
      <c r="I538" s="47"/>
    </row>
    <row r="539" spans="1:9" x14ac:dyDescent="0.25">
      <c r="A539" s="31" t="s">
        <v>280</v>
      </c>
      <c r="B539" s="31" t="s">
        <v>262</v>
      </c>
      <c r="C539" s="31" t="s">
        <v>258</v>
      </c>
      <c r="D539" s="31" t="s">
        <v>263</v>
      </c>
      <c r="E539" s="38">
        <v>42054</v>
      </c>
      <c r="F539" s="35">
        <v>6</v>
      </c>
      <c r="G539" s="35">
        <v>2833</v>
      </c>
      <c r="H539" s="46"/>
      <c r="I539" s="47"/>
    </row>
    <row r="540" spans="1:9" x14ac:dyDescent="0.25">
      <c r="A540" s="31" t="s">
        <v>280</v>
      </c>
      <c r="B540" s="31" t="s">
        <v>262</v>
      </c>
      <c r="C540" s="31" t="s">
        <v>257</v>
      </c>
      <c r="D540" s="31" t="s">
        <v>275</v>
      </c>
      <c r="E540" s="38">
        <v>42054</v>
      </c>
      <c r="F540" s="35">
        <v>7</v>
      </c>
      <c r="G540" s="35">
        <v>3768</v>
      </c>
      <c r="H540" s="46"/>
      <c r="I540" s="47"/>
    </row>
    <row r="541" spans="1:9" x14ac:dyDescent="0.25">
      <c r="A541" s="31" t="s">
        <v>274</v>
      </c>
      <c r="B541" s="31" t="s">
        <v>273</v>
      </c>
      <c r="C541" s="31" t="s">
        <v>259</v>
      </c>
      <c r="D541" s="31" t="s">
        <v>263</v>
      </c>
      <c r="E541" s="38">
        <v>42056</v>
      </c>
      <c r="F541" s="35">
        <v>9</v>
      </c>
      <c r="G541" s="35">
        <v>2904</v>
      </c>
      <c r="H541" s="46"/>
      <c r="I541" s="47"/>
    </row>
    <row r="542" spans="1:9" x14ac:dyDescent="0.25">
      <c r="A542" s="31" t="s">
        <v>276</v>
      </c>
      <c r="B542" s="31" t="s">
        <v>278</v>
      </c>
      <c r="C542" s="31" t="s">
        <v>260</v>
      </c>
      <c r="D542" s="31" t="s">
        <v>275</v>
      </c>
      <c r="E542" s="38">
        <v>42056</v>
      </c>
      <c r="F542" s="35">
        <v>7</v>
      </c>
      <c r="G542" s="35">
        <v>2932</v>
      </c>
      <c r="H542" s="46"/>
      <c r="I542" s="47"/>
    </row>
    <row r="543" spans="1:9" x14ac:dyDescent="0.25">
      <c r="A543" s="31" t="s">
        <v>270</v>
      </c>
      <c r="B543" s="31" t="s">
        <v>271</v>
      </c>
      <c r="C543" s="31" t="s">
        <v>257</v>
      </c>
      <c r="D543" s="31" t="s">
        <v>282</v>
      </c>
      <c r="E543" s="38">
        <v>42057</v>
      </c>
      <c r="F543" s="35">
        <v>12</v>
      </c>
      <c r="G543" s="35">
        <v>4862</v>
      </c>
      <c r="H543" s="46"/>
      <c r="I543" s="47"/>
    </row>
    <row r="544" spans="1:9" x14ac:dyDescent="0.25">
      <c r="A544" s="31" t="s">
        <v>277</v>
      </c>
      <c r="B544" s="31" t="s">
        <v>271</v>
      </c>
      <c r="C544" s="31" t="s">
        <v>260</v>
      </c>
      <c r="D544" s="31" t="s">
        <v>282</v>
      </c>
      <c r="E544" s="38">
        <v>42057</v>
      </c>
      <c r="F544" s="35">
        <v>12</v>
      </c>
      <c r="G544" s="35">
        <v>6331</v>
      </c>
      <c r="H544" s="46"/>
      <c r="I544" s="47"/>
    </row>
    <row r="545" spans="1:9" x14ac:dyDescent="0.25">
      <c r="A545" s="31" t="s">
        <v>272</v>
      </c>
      <c r="B545" s="31" t="s">
        <v>271</v>
      </c>
      <c r="C545" s="31" t="s">
        <v>258</v>
      </c>
      <c r="D545" s="31" t="s">
        <v>263</v>
      </c>
      <c r="E545" s="38">
        <v>42059</v>
      </c>
      <c r="F545" s="35">
        <v>13</v>
      </c>
      <c r="G545" s="35">
        <v>7128</v>
      </c>
      <c r="H545" s="46"/>
      <c r="I545" s="47"/>
    </row>
    <row r="546" spans="1:9" x14ac:dyDescent="0.25">
      <c r="A546" s="31" t="s">
        <v>268</v>
      </c>
      <c r="B546" s="31" t="s">
        <v>266</v>
      </c>
      <c r="C546" s="31" t="s">
        <v>258</v>
      </c>
      <c r="D546" s="31" t="s">
        <v>263</v>
      </c>
      <c r="E546" s="38">
        <v>42060</v>
      </c>
      <c r="F546" s="35">
        <v>14</v>
      </c>
      <c r="G546" s="35">
        <v>4450</v>
      </c>
      <c r="H546" s="46"/>
      <c r="I546" s="47"/>
    </row>
    <row r="547" spans="1:9" x14ac:dyDescent="0.25">
      <c r="A547" s="31" t="s">
        <v>280</v>
      </c>
      <c r="B547" s="31" t="s">
        <v>273</v>
      </c>
      <c r="C547" s="31" t="s">
        <v>259</v>
      </c>
      <c r="D547" s="31" t="s">
        <v>269</v>
      </c>
      <c r="E547" s="38">
        <v>42063</v>
      </c>
      <c r="F547" s="35">
        <v>9</v>
      </c>
      <c r="G547" s="35">
        <v>3006</v>
      </c>
      <c r="H547" s="46"/>
      <c r="I547" s="47"/>
    </row>
    <row r="548" spans="1:9" x14ac:dyDescent="0.25">
      <c r="A548" s="31" t="s">
        <v>277</v>
      </c>
      <c r="B548" s="31" t="s">
        <v>271</v>
      </c>
      <c r="C548" s="31" t="s">
        <v>259</v>
      </c>
      <c r="D548" s="31" t="s">
        <v>282</v>
      </c>
      <c r="E548" s="38">
        <v>42067</v>
      </c>
      <c r="F548" s="35">
        <v>13</v>
      </c>
      <c r="G548" s="35">
        <v>6837</v>
      </c>
      <c r="H548" s="46"/>
      <c r="I548" s="47"/>
    </row>
    <row r="549" spans="1:9" x14ac:dyDescent="0.25">
      <c r="A549" s="31" t="s">
        <v>261</v>
      </c>
      <c r="B549" s="31" t="s">
        <v>262</v>
      </c>
      <c r="C549" s="31" t="s">
        <v>257</v>
      </c>
      <c r="D549" s="31" t="s">
        <v>275</v>
      </c>
      <c r="E549" s="38">
        <v>42067</v>
      </c>
      <c r="F549" s="35">
        <v>3</v>
      </c>
      <c r="G549" s="35">
        <v>1166</v>
      </c>
      <c r="H549" s="46"/>
      <c r="I549" s="47"/>
    </row>
    <row r="550" spans="1:9" x14ac:dyDescent="0.25">
      <c r="A550" s="31" t="s">
        <v>264</v>
      </c>
      <c r="B550" s="31" t="s">
        <v>278</v>
      </c>
      <c r="C550" s="31" t="s">
        <v>259</v>
      </c>
      <c r="D550" s="31" t="s">
        <v>275</v>
      </c>
      <c r="E550" s="38">
        <v>42067</v>
      </c>
      <c r="F550" s="35">
        <v>3</v>
      </c>
      <c r="G550" s="35">
        <v>693</v>
      </c>
      <c r="H550" s="46"/>
      <c r="I550" s="47"/>
    </row>
    <row r="551" spans="1:9" x14ac:dyDescent="0.25">
      <c r="A551" s="31" t="s">
        <v>264</v>
      </c>
      <c r="B551" s="31" t="s">
        <v>271</v>
      </c>
      <c r="C551" s="31" t="s">
        <v>258</v>
      </c>
      <c r="D551" s="31" t="s">
        <v>275</v>
      </c>
      <c r="E551" s="38">
        <v>42070</v>
      </c>
      <c r="F551" s="35">
        <v>12</v>
      </c>
      <c r="G551" s="35">
        <v>3922</v>
      </c>
      <c r="H551" s="46"/>
      <c r="I551" s="47"/>
    </row>
    <row r="552" spans="1:9" x14ac:dyDescent="0.25">
      <c r="A552" s="31" t="s">
        <v>276</v>
      </c>
      <c r="B552" s="31" t="s">
        <v>266</v>
      </c>
      <c r="C552" s="31" t="s">
        <v>260</v>
      </c>
      <c r="D552" s="31" t="s">
        <v>269</v>
      </c>
      <c r="E552" s="38">
        <v>42070</v>
      </c>
      <c r="F552" s="35">
        <v>10</v>
      </c>
      <c r="G552" s="35">
        <v>5470</v>
      </c>
      <c r="H552" s="46"/>
      <c r="I552" s="47"/>
    </row>
    <row r="553" spans="1:9" x14ac:dyDescent="0.25">
      <c r="A553" s="31" t="s">
        <v>274</v>
      </c>
      <c r="B553" s="31" t="s">
        <v>262</v>
      </c>
      <c r="C553" s="31" t="s">
        <v>257</v>
      </c>
      <c r="D553" s="31" t="s">
        <v>267</v>
      </c>
      <c r="E553" s="38">
        <v>42070</v>
      </c>
      <c r="F553" s="35">
        <v>14</v>
      </c>
      <c r="G553" s="35">
        <v>5506</v>
      </c>
      <c r="H553" s="46"/>
      <c r="I553" s="47"/>
    </row>
    <row r="554" spans="1:9" x14ac:dyDescent="0.25">
      <c r="A554" s="31" t="s">
        <v>281</v>
      </c>
      <c r="B554" s="31" t="s">
        <v>266</v>
      </c>
      <c r="C554" s="31" t="s">
        <v>257</v>
      </c>
      <c r="D554" s="31" t="s">
        <v>269</v>
      </c>
      <c r="E554" s="38">
        <v>42071</v>
      </c>
      <c r="F554" s="35">
        <v>9</v>
      </c>
      <c r="G554" s="35">
        <v>3584</v>
      </c>
      <c r="H554" s="46"/>
      <c r="I554" s="47"/>
    </row>
    <row r="555" spans="1:9" x14ac:dyDescent="0.25">
      <c r="A555" s="31" t="s">
        <v>268</v>
      </c>
      <c r="B555" s="31" t="s">
        <v>262</v>
      </c>
      <c r="C555" s="31" t="s">
        <v>258</v>
      </c>
      <c r="D555" s="31" t="s">
        <v>263</v>
      </c>
      <c r="E555" s="38">
        <v>42071</v>
      </c>
      <c r="F555" s="35">
        <v>5</v>
      </c>
      <c r="G555" s="35">
        <v>1810</v>
      </c>
      <c r="H555" s="46"/>
      <c r="I555" s="47"/>
    </row>
    <row r="556" spans="1:9" x14ac:dyDescent="0.25">
      <c r="A556" s="31" t="s">
        <v>274</v>
      </c>
      <c r="B556" s="31" t="s">
        <v>271</v>
      </c>
      <c r="C556" s="31" t="s">
        <v>259</v>
      </c>
      <c r="D556" s="31" t="s">
        <v>263</v>
      </c>
      <c r="E556" s="38">
        <v>42074</v>
      </c>
      <c r="F556" s="35">
        <v>9</v>
      </c>
      <c r="G556" s="35">
        <v>3707</v>
      </c>
      <c r="H556" s="46"/>
      <c r="I556" s="47"/>
    </row>
    <row r="557" spans="1:9" x14ac:dyDescent="0.25">
      <c r="A557" s="31" t="s">
        <v>265</v>
      </c>
      <c r="B557" s="31" t="s">
        <v>271</v>
      </c>
      <c r="C557" s="31" t="s">
        <v>259</v>
      </c>
      <c r="D557" s="31" t="s">
        <v>282</v>
      </c>
      <c r="E557" s="38">
        <v>42074</v>
      </c>
      <c r="F557" s="35">
        <v>5</v>
      </c>
      <c r="G557" s="35">
        <v>2008</v>
      </c>
      <c r="H557" s="46"/>
      <c r="I557" s="47"/>
    </row>
    <row r="558" spans="1:9" x14ac:dyDescent="0.25">
      <c r="A558" s="31" t="s">
        <v>264</v>
      </c>
      <c r="B558" s="31" t="s">
        <v>278</v>
      </c>
      <c r="C558" s="31" t="s">
        <v>259</v>
      </c>
      <c r="D558" s="31" t="s">
        <v>269</v>
      </c>
      <c r="E558" s="38">
        <v>42075</v>
      </c>
      <c r="F558" s="35">
        <v>19</v>
      </c>
      <c r="G558" s="35">
        <v>9207</v>
      </c>
      <c r="H558" s="46"/>
      <c r="I558" s="47"/>
    </row>
    <row r="559" spans="1:9" x14ac:dyDescent="0.25">
      <c r="A559" s="31" t="s">
        <v>276</v>
      </c>
      <c r="B559" s="31" t="s">
        <v>278</v>
      </c>
      <c r="C559" s="31" t="s">
        <v>258</v>
      </c>
      <c r="D559" s="31" t="s">
        <v>282</v>
      </c>
      <c r="E559" s="38">
        <v>42075</v>
      </c>
      <c r="F559" s="35">
        <v>10</v>
      </c>
      <c r="G559" s="35">
        <v>3834</v>
      </c>
      <c r="H559" s="46"/>
      <c r="I559" s="47"/>
    </row>
    <row r="560" spans="1:9" x14ac:dyDescent="0.25">
      <c r="A560" s="31" t="s">
        <v>281</v>
      </c>
      <c r="B560" s="31" t="s">
        <v>278</v>
      </c>
      <c r="C560" s="31" t="s">
        <v>257</v>
      </c>
      <c r="D560" s="31" t="s">
        <v>267</v>
      </c>
      <c r="E560" s="38">
        <v>42078</v>
      </c>
      <c r="F560" s="35">
        <v>2</v>
      </c>
      <c r="G560" s="35">
        <v>369</v>
      </c>
      <c r="H560" s="46"/>
      <c r="I560" s="47"/>
    </row>
    <row r="561" spans="1:9" x14ac:dyDescent="0.25">
      <c r="A561" s="31" t="s">
        <v>261</v>
      </c>
      <c r="B561" s="31" t="s">
        <v>266</v>
      </c>
      <c r="C561" s="31" t="s">
        <v>259</v>
      </c>
      <c r="D561" s="31" t="s">
        <v>263</v>
      </c>
      <c r="E561" s="38">
        <v>42081</v>
      </c>
      <c r="F561" s="35">
        <v>11</v>
      </c>
      <c r="G561" s="35">
        <v>4433</v>
      </c>
      <c r="H561" s="46"/>
      <c r="I561" s="47"/>
    </row>
    <row r="562" spans="1:9" x14ac:dyDescent="0.25">
      <c r="A562" s="31" t="s">
        <v>279</v>
      </c>
      <c r="B562" s="31" t="s">
        <v>271</v>
      </c>
      <c r="C562" s="31" t="s">
        <v>257</v>
      </c>
      <c r="D562" s="31" t="s">
        <v>275</v>
      </c>
      <c r="E562" s="38">
        <v>42083</v>
      </c>
      <c r="F562" s="35">
        <v>5</v>
      </c>
      <c r="G562" s="35">
        <v>1524</v>
      </c>
      <c r="H562" s="46"/>
      <c r="I562" s="47"/>
    </row>
    <row r="563" spans="1:9" x14ac:dyDescent="0.25">
      <c r="A563" s="31" t="s">
        <v>272</v>
      </c>
      <c r="B563" s="31" t="s">
        <v>262</v>
      </c>
      <c r="C563" s="31" t="s">
        <v>257</v>
      </c>
      <c r="D563" s="31" t="s">
        <v>269</v>
      </c>
      <c r="E563" s="38">
        <v>42083</v>
      </c>
      <c r="F563" s="35">
        <v>19</v>
      </c>
      <c r="G563" s="35">
        <v>10989</v>
      </c>
      <c r="H563" s="46"/>
      <c r="I563" s="47"/>
    </row>
    <row r="564" spans="1:9" x14ac:dyDescent="0.25">
      <c r="A564" s="31" t="s">
        <v>261</v>
      </c>
      <c r="B564" s="31" t="s">
        <v>273</v>
      </c>
      <c r="C564" s="31" t="s">
        <v>260</v>
      </c>
      <c r="D564" s="31" t="s">
        <v>282</v>
      </c>
      <c r="E564" s="38">
        <v>42083</v>
      </c>
      <c r="F564" s="35">
        <v>10</v>
      </c>
      <c r="G564" s="35">
        <v>3641</v>
      </c>
      <c r="H564" s="46"/>
      <c r="I564" s="47"/>
    </row>
    <row r="565" spans="1:9" x14ac:dyDescent="0.25">
      <c r="A565" s="31" t="s">
        <v>265</v>
      </c>
      <c r="B565" s="31" t="s">
        <v>262</v>
      </c>
      <c r="C565" s="31" t="s">
        <v>260</v>
      </c>
      <c r="D565" s="31" t="s">
        <v>275</v>
      </c>
      <c r="E565" s="38">
        <v>42084</v>
      </c>
      <c r="F565" s="35">
        <v>5</v>
      </c>
      <c r="G565" s="35">
        <v>1760</v>
      </c>
      <c r="H565" s="46"/>
      <c r="I565" s="47"/>
    </row>
    <row r="566" spans="1:9" x14ac:dyDescent="0.25">
      <c r="A566" s="31" t="s">
        <v>265</v>
      </c>
      <c r="B566" s="31" t="s">
        <v>266</v>
      </c>
      <c r="C566" s="31" t="s">
        <v>258</v>
      </c>
      <c r="D566" s="31" t="s">
        <v>269</v>
      </c>
      <c r="E566" s="38">
        <v>42085</v>
      </c>
      <c r="F566" s="35">
        <v>8</v>
      </c>
      <c r="G566" s="35">
        <v>4601</v>
      </c>
      <c r="H566" s="46"/>
      <c r="I566" s="47"/>
    </row>
    <row r="567" spans="1:9" x14ac:dyDescent="0.25">
      <c r="A567" s="31" t="s">
        <v>277</v>
      </c>
      <c r="B567" s="31" t="s">
        <v>262</v>
      </c>
      <c r="C567" s="31" t="s">
        <v>259</v>
      </c>
      <c r="D567" s="31" t="s">
        <v>275</v>
      </c>
      <c r="E567" s="38">
        <v>42085</v>
      </c>
      <c r="F567" s="35">
        <v>7</v>
      </c>
      <c r="G567" s="35">
        <v>3537</v>
      </c>
      <c r="H567" s="46"/>
      <c r="I567" s="47"/>
    </row>
    <row r="568" spans="1:9" x14ac:dyDescent="0.25">
      <c r="A568" s="31" t="s">
        <v>264</v>
      </c>
      <c r="B568" s="31" t="s">
        <v>273</v>
      </c>
      <c r="C568" s="31" t="s">
        <v>258</v>
      </c>
      <c r="D568" s="31" t="s">
        <v>275</v>
      </c>
      <c r="E568" s="38">
        <v>42087</v>
      </c>
      <c r="F568" s="35">
        <v>15</v>
      </c>
      <c r="G568" s="35">
        <v>8283</v>
      </c>
      <c r="H568" s="46"/>
      <c r="I568" s="47"/>
    </row>
    <row r="569" spans="1:9" x14ac:dyDescent="0.25">
      <c r="A569" s="31" t="s">
        <v>270</v>
      </c>
      <c r="B569" s="31" t="s">
        <v>271</v>
      </c>
      <c r="C569" s="31" t="s">
        <v>257</v>
      </c>
      <c r="D569" s="31" t="s">
        <v>263</v>
      </c>
      <c r="E569" s="38">
        <v>42088</v>
      </c>
      <c r="F569" s="35">
        <v>14</v>
      </c>
      <c r="G569" s="35">
        <v>5077</v>
      </c>
      <c r="H569" s="46"/>
      <c r="I569" s="47"/>
    </row>
    <row r="570" spans="1:9" x14ac:dyDescent="0.25">
      <c r="A570" s="31" t="s">
        <v>261</v>
      </c>
      <c r="B570" s="31" t="s">
        <v>278</v>
      </c>
      <c r="C570" s="31" t="s">
        <v>259</v>
      </c>
      <c r="D570" s="31" t="s">
        <v>269</v>
      </c>
      <c r="E570" s="38">
        <v>42088</v>
      </c>
      <c r="F570" s="35">
        <v>10</v>
      </c>
      <c r="G570" s="35">
        <v>4789</v>
      </c>
      <c r="H570" s="46"/>
      <c r="I570" s="47"/>
    </row>
    <row r="571" spans="1:9" x14ac:dyDescent="0.25">
      <c r="A571" s="31" t="s">
        <v>274</v>
      </c>
      <c r="B571" s="31" t="s">
        <v>262</v>
      </c>
      <c r="C571" s="31" t="s">
        <v>259</v>
      </c>
      <c r="D571" s="31" t="s">
        <v>263</v>
      </c>
      <c r="E571" s="38">
        <v>42088</v>
      </c>
      <c r="F571" s="35">
        <v>11</v>
      </c>
      <c r="G571" s="35">
        <v>3652</v>
      </c>
      <c r="H571" s="46"/>
      <c r="I571" s="47"/>
    </row>
    <row r="572" spans="1:9" x14ac:dyDescent="0.25">
      <c r="A572" s="31" t="s">
        <v>265</v>
      </c>
      <c r="B572" s="31" t="s">
        <v>262</v>
      </c>
      <c r="C572" s="31" t="s">
        <v>257</v>
      </c>
      <c r="D572" s="31" t="s">
        <v>275</v>
      </c>
      <c r="E572" s="38">
        <v>42089</v>
      </c>
      <c r="F572" s="35">
        <v>5</v>
      </c>
      <c r="G572" s="35">
        <v>1507</v>
      </c>
      <c r="H572" s="46"/>
      <c r="I572" s="47"/>
    </row>
    <row r="573" spans="1:9" x14ac:dyDescent="0.25">
      <c r="A573" s="31" t="s">
        <v>268</v>
      </c>
      <c r="B573" s="31" t="s">
        <v>266</v>
      </c>
      <c r="C573" s="31" t="s">
        <v>260</v>
      </c>
      <c r="D573" s="31" t="s">
        <v>269</v>
      </c>
      <c r="E573" s="38">
        <v>42089</v>
      </c>
      <c r="F573" s="35">
        <v>13</v>
      </c>
      <c r="G573" s="35">
        <v>4385</v>
      </c>
      <c r="H573" s="46"/>
      <c r="I573" s="47"/>
    </row>
    <row r="574" spans="1:9" x14ac:dyDescent="0.25">
      <c r="A574" s="31" t="s">
        <v>280</v>
      </c>
      <c r="B574" s="31" t="s">
        <v>271</v>
      </c>
      <c r="C574" s="31" t="s">
        <v>260</v>
      </c>
      <c r="D574" s="31" t="s">
        <v>267</v>
      </c>
      <c r="E574" s="38">
        <v>42090</v>
      </c>
      <c r="F574" s="35">
        <v>7</v>
      </c>
      <c r="G574" s="35">
        <v>2904</v>
      </c>
      <c r="H574" s="46"/>
      <c r="I574" s="47"/>
    </row>
    <row r="575" spans="1:9" x14ac:dyDescent="0.25">
      <c r="A575" s="31" t="s">
        <v>264</v>
      </c>
      <c r="B575" s="31" t="s">
        <v>278</v>
      </c>
      <c r="C575" s="31" t="s">
        <v>260</v>
      </c>
      <c r="D575" s="31" t="s">
        <v>275</v>
      </c>
      <c r="E575" s="38">
        <v>42091</v>
      </c>
      <c r="F575" s="35">
        <v>3</v>
      </c>
      <c r="G575" s="35">
        <v>820</v>
      </c>
      <c r="H575" s="46"/>
      <c r="I575" s="47"/>
    </row>
    <row r="576" spans="1:9" x14ac:dyDescent="0.25">
      <c r="A576" s="31" t="s">
        <v>279</v>
      </c>
      <c r="B576" s="31" t="s">
        <v>273</v>
      </c>
      <c r="C576" s="31" t="s">
        <v>257</v>
      </c>
      <c r="D576" s="31" t="s">
        <v>282</v>
      </c>
      <c r="E576" s="38">
        <v>42091</v>
      </c>
      <c r="F576" s="35">
        <v>16</v>
      </c>
      <c r="G576" s="35">
        <v>4983</v>
      </c>
      <c r="H576" s="46"/>
      <c r="I576" s="47"/>
    </row>
    <row r="577" spans="1:9" x14ac:dyDescent="0.25">
      <c r="A577" s="31" t="s">
        <v>279</v>
      </c>
      <c r="B577" s="31" t="s">
        <v>273</v>
      </c>
      <c r="C577" s="31" t="s">
        <v>257</v>
      </c>
      <c r="D577" s="31" t="s">
        <v>263</v>
      </c>
      <c r="E577" s="38">
        <v>42094</v>
      </c>
      <c r="F577" s="35">
        <v>10</v>
      </c>
      <c r="G577" s="35">
        <v>4879</v>
      </c>
      <c r="H577" s="46"/>
      <c r="I577" s="47"/>
    </row>
    <row r="578" spans="1:9" x14ac:dyDescent="0.25">
      <c r="A578" s="31" t="s">
        <v>264</v>
      </c>
      <c r="B578" s="31" t="s">
        <v>271</v>
      </c>
      <c r="C578" s="31" t="s">
        <v>259</v>
      </c>
      <c r="D578" s="31" t="s">
        <v>267</v>
      </c>
      <c r="E578" s="38">
        <v>42095</v>
      </c>
      <c r="F578" s="35">
        <v>5</v>
      </c>
      <c r="G578" s="35">
        <v>1804</v>
      </c>
      <c r="H578" s="46"/>
      <c r="I578" s="47"/>
    </row>
    <row r="579" spans="1:9" x14ac:dyDescent="0.25">
      <c r="A579" s="31" t="s">
        <v>264</v>
      </c>
      <c r="B579" s="31" t="s">
        <v>262</v>
      </c>
      <c r="C579" s="31" t="s">
        <v>257</v>
      </c>
      <c r="D579" s="31" t="s">
        <v>275</v>
      </c>
      <c r="E579" s="38">
        <v>42095</v>
      </c>
      <c r="F579" s="35">
        <v>11</v>
      </c>
      <c r="G579" s="35">
        <v>3476</v>
      </c>
      <c r="H579" s="46"/>
      <c r="I579" s="47"/>
    </row>
    <row r="580" spans="1:9" x14ac:dyDescent="0.25">
      <c r="A580" s="31" t="s">
        <v>277</v>
      </c>
      <c r="B580" s="31" t="s">
        <v>271</v>
      </c>
      <c r="C580" s="31" t="s">
        <v>259</v>
      </c>
      <c r="D580" s="31" t="s">
        <v>275</v>
      </c>
      <c r="E580" s="38">
        <v>42095</v>
      </c>
      <c r="F580" s="35">
        <v>11</v>
      </c>
      <c r="G580" s="35">
        <v>4906</v>
      </c>
      <c r="H580" s="46"/>
      <c r="I580" s="47"/>
    </row>
    <row r="581" spans="1:9" x14ac:dyDescent="0.25">
      <c r="A581" s="31" t="s">
        <v>265</v>
      </c>
      <c r="B581" s="31" t="s">
        <v>262</v>
      </c>
      <c r="C581" s="31" t="s">
        <v>259</v>
      </c>
      <c r="D581" s="31" t="s">
        <v>282</v>
      </c>
      <c r="E581" s="38">
        <v>42096</v>
      </c>
      <c r="F581" s="35">
        <v>5</v>
      </c>
      <c r="G581" s="35">
        <v>1320</v>
      </c>
      <c r="H581" s="46"/>
      <c r="I581" s="47"/>
    </row>
    <row r="582" spans="1:9" x14ac:dyDescent="0.25">
      <c r="A582" s="31" t="s">
        <v>264</v>
      </c>
      <c r="B582" s="31" t="s">
        <v>271</v>
      </c>
      <c r="C582" s="31" t="s">
        <v>258</v>
      </c>
      <c r="D582" s="31" t="s">
        <v>282</v>
      </c>
      <c r="E582" s="38">
        <v>42097</v>
      </c>
      <c r="F582" s="35">
        <v>7</v>
      </c>
      <c r="G582" s="35">
        <v>3289</v>
      </c>
      <c r="H582" s="46"/>
      <c r="I582" s="47"/>
    </row>
    <row r="583" spans="1:9" x14ac:dyDescent="0.25">
      <c r="A583" s="31" t="s">
        <v>264</v>
      </c>
      <c r="B583" s="31" t="s">
        <v>271</v>
      </c>
      <c r="C583" s="31" t="s">
        <v>260</v>
      </c>
      <c r="D583" s="31" t="s">
        <v>275</v>
      </c>
      <c r="E583" s="38">
        <v>42097</v>
      </c>
      <c r="F583" s="35">
        <v>7</v>
      </c>
      <c r="G583" s="35">
        <v>3179</v>
      </c>
      <c r="H583" s="46"/>
      <c r="I583" s="47"/>
    </row>
    <row r="584" spans="1:9" x14ac:dyDescent="0.25">
      <c r="A584" s="31" t="s">
        <v>276</v>
      </c>
      <c r="B584" s="31" t="s">
        <v>271</v>
      </c>
      <c r="C584" s="31" t="s">
        <v>257</v>
      </c>
      <c r="D584" s="31" t="s">
        <v>269</v>
      </c>
      <c r="E584" s="38">
        <v>42099</v>
      </c>
      <c r="F584" s="35">
        <v>16</v>
      </c>
      <c r="G584" s="35">
        <v>6287</v>
      </c>
      <c r="H584" s="46"/>
      <c r="I584" s="47"/>
    </row>
    <row r="585" spans="1:9" x14ac:dyDescent="0.25">
      <c r="A585" s="31" t="s">
        <v>265</v>
      </c>
      <c r="B585" s="31" t="s">
        <v>262</v>
      </c>
      <c r="C585" s="31" t="s">
        <v>259</v>
      </c>
      <c r="D585" s="31" t="s">
        <v>282</v>
      </c>
      <c r="E585" s="38">
        <v>42099</v>
      </c>
      <c r="F585" s="35">
        <v>5</v>
      </c>
      <c r="G585" s="35">
        <v>2134</v>
      </c>
      <c r="H585" s="46"/>
      <c r="I585" s="47"/>
    </row>
    <row r="586" spans="1:9" x14ac:dyDescent="0.25">
      <c r="A586" s="31" t="s">
        <v>265</v>
      </c>
      <c r="B586" s="31" t="s">
        <v>271</v>
      </c>
      <c r="C586" s="31" t="s">
        <v>258</v>
      </c>
      <c r="D586" s="31" t="s">
        <v>267</v>
      </c>
      <c r="E586" s="38">
        <v>42099</v>
      </c>
      <c r="F586" s="35">
        <v>8</v>
      </c>
      <c r="G586" s="35">
        <v>2970</v>
      </c>
      <c r="H586" s="46"/>
      <c r="I586" s="47"/>
    </row>
    <row r="587" spans="1:9" x14ac:dyDescent="0.25">
      <c r="A587" s="31" t="s">
        <v>270</v>
      </c>
      <c r="B587" s="31" t="s">
        <v>273</v>
      </c>
      <c r="C587" s="31" t="s">
        <v>257</v>
      </c>
      <c r="D587" s="31" t="s">
        <v>269</v>
      </c>
      <c r="E587" s="38">
        <v>42099</v>
      </c>
      <c r="F587" s="35">
        <v>9</v>
      </c>
      <c r="G587" s="35">
        <v>4166</v>
      </c>
      <c r="H587" s="46"/>
      <c r="I587" s="47"/>
    </row>
    <row r="588" spans="1:9" x14ac:dyDescent="0.25">
      <c r="A588" s="31" t="s">
        <v>268</v>
      </c>
      <c r="B588" s="31" t="s">
        <v>271</v>
      </c>
      <c r="C588" s="31" t="s">
        <v>258</v>
      </c>
      <c r="D588" s="31" t="s">
        <v>275</v>
      </c>
      <c r="E588" s="38">
        <v>42102</v>
      </c>
      <c r="F588" s="35">
        <v>13</v>
      </c>
      <c r="G588" s="35">
        <v>7799</v>
      </c>
      <c r="H588" s="46"/>
      <c r="I588" s="47"/>
    </row>
    <row r="589" spans="1:9" x14ac:dyDescent="0.25">
      <c r="A589" s="31" t="s">
        <v>274</v>
      </c>
      <c r="B589" s="31" t="s">
        <v>266</v>
      </c>
      <c r="C589" s="31" t="s">
        <v>260</v>
      </c>
      <c r="D589" s="31" t="s">
        <v>263</v>
      </c>
      <c r="E589" s="38">
        <v>42103</v>
      </c>
      <c r="F589" s="35">
        <v>10</v>
      </c>
      <c r="G589" s="35">
        <v>5445</v>
      </c>
      <c r="H589" s="46"/>
      <c r="I589" s="47"/>
    </row>
    <row r="590" spans="1:9" x14ac:dyDescent="0.25">
      <c r="A590" s="31" t="s">
        <v>264</v>
      </c>
      <c r="B590" s="31" t="s">
        <v>262</v>
      </c>
      <c r="C590" s="31" t="s">
        <v>258</v>
      </c>
      <c r="D590" s="31" t="s">
        <v>282</v>
      </c>
      <c r="E590" s="38">
        <v>42105</v>
      </c>
      <c r="F590" s="35">
        <v>13</v>
      </c>
      <c r="G590" s="35">
        <v>6611</v>
      </c>
      <c r="H590" s="46"/>
      <c r="I590" s="47"/>
    </row>
    <row r="591" spans="1:9" x14ac:dyDescent="0.25">
      <c r="A591" s="31" t="s">
        <v>274</v>
      </c>
      <c r="B591" s="31" t="s">
        <v>278</v>
      </c>
      <c r="C591" s="31" t="s">
        <v>260</v>
      </c>
      <c r="D591" s="31" t="s">
        <v>282</v>
      </c>
      <c r="E591" s="38">
        <v>42105</v>
      </c>
      <c r="F591" s="35">
        <v>8</v>
      </c>
      <c r="G591" s="35">
        <v>3405</v>
      </c>
      <c r="H591" s="46"/>
      <c r="I591" s="47"/>
    </row>
    <row r="592" spans="1:9" x14ac:dyDescent="0.25">
      <c r="A592" s="31" t="s">
        <v>270</v>
      </c>
      <c r="B592" s="31" t="s">
        <v>266</v>
      </c>
      <c r="C592" s="31" t="s">
        <v>258</v>
      </c>
      <c r="D592" s="31" t="s">
        <v>282</v>
      </c>
      <c r="E592" s="38">
        <v>42105</v>
      </c>
      <c r="F592" s="35">
        <v>14</v>
      </c>
      <c r="G592" s="35">
        <v>5192</v>
      </c>
      <c r="H592" s="46"/>
      <c r="I592" s="47"/>
    </row>
    <row r="593" spans="1:9" x14ac:dyDescent="0.25">
      <c r="A593" s="31" t="s">
        <v>272</v>
      </c>
      <c r="B593" s="31" t="s">
        <v>273</v>
      </c>
      <c r="C593" s="31" t="s">
        <v>259</v>
      </c>
      <c r="D593" s="31" t="s">
        <v>267</v>
      </c>
      <c r="E593" s="38">
        <v>42109</v>
      </c>
      <c r="F593" s="35">
        <v>2</v>
      </c>
      <c r="G593" s="35">
        <v>633</v>
      </c>
      <c r="H593" s="46"/>
      <c r="I593" s="47"/>
    </row>
    <row r="594" spans="1:9" x14ac:dyDescent="0.25">
      <c r="A594" s="31" t="s">
        <v>264</v>
      </c>
      <c r="B594" s="31" t="s">
        <v>278</v>
      </c>
      <c r="C594" s="31" t="s">
        <v>260</v>
      </c>
      <c r="D594" s="31" t="s">
        <v>269</v>
      </c>
      <c r="E594" s="38">
        <v>42109</v>
      </c>
      <c r="F594" s="35">
        <v>8</v>
      </c>
      <c r="G594" s="35">
        <v>4024</v>
      </c>
      <c r="H594" s="46"/>
      <c r="I594" s="47"/>
    </row>
    <row r="595" spans="1:9" x14ac:dyDescent="0.25">
      <c r="A595" s="31" t="s">
        <v>276</v>
      </c>
      <c r="B595" s="31" t="s">
        <v>273</v>
      </c>
      <c r="C595" s="31" t="s">
        <v>259</v>
      </c>
      <c r="D595" s="31" t="s">
        <v>275</v>
      </c>
      <c r="E595" s="38">
        <v>42110</v>
      </c>
      <c r="F595" s="35">
        <v>13</v>
      </c>
      <c r="G595" s="35">
        <v>7035</v>
      </c>
      <c r="H595" s="46"/>
      <c r="I595" s="47"/>
    </row>
    <row r="596" spans="1:9" x14ac:dyDescent="0.25">
      <c r="A596" s="31" t="s">
        <v>272</v>
      </c>
      <c r="B596" s="31" t="s">
        <v>266</v>
      </c>
      <c r="C596" s="31" t="s">
        <v>260</v>
      </c>
      <c r="D596" s="31" t="s">
        <v>263</v>
      </c>
      <c r="E596" s="38">
        <v>42110</v>
      </c>
      <c r="F596" s="35">
        <v>6</v>
      </c>
      <c r="G596" s="35">
        <v>1821</v>
      </c>
      <c r="H596" s="46"/>
      <c r="I596" s="47"/>
    </row>
    <row r="597" spans="1:9" x14ac:dyDescent="0.25">
      <c r="A597" s="31" t="s">
        <v>274</v>
      </c>
      <c r="B597" s="31" t="s">
        <v>271</v>
      </c>
      <c r="C597" s="31" t="s">
        <v>258</v>
      </c>
      <c r="D597" s="31" t="s">
        <v>275</v>
      </c>
      <c r="E597" s="38">
        <v>42111</v>
      </c>
      <c r="F597" s="35">
        <v>3</v>
      </c>
      <c r="G597" s="35">
        <v>935</v>
      </c>
      <c r="H597" s="46"/>
      <c r="I597" s="47"/>
    </row>
    <row r="598" spans="1:9" x14ac:dyDescent="0.25">
      <c r="A598" s="31" t="s">
        <v>268</v>
      </c>
      <c r="B598" s="31" t="s">
        <v>266</v>
      </c>
      <c r="C598" s="31" t="s">
        <v>260</v>
      </c>
      <c r="D598" s="31" t="s">
        <v>282</v>
      </c>
      <c r="E598" s="38">
        <v>42112</v>
      </c>
      <c r="F598" s="35">
        <v>15</v>
      </c>
      <c r="G598" s="35">
        <v>6435</v>
      </c>
      <c r="H598" s="46"/>
      <c r="I598" s="47"/>
    </row>
    <row r="599" spans="1:9" x14ac:dyDescent="0.25">
      <c r="A599" s="31" t="s">
        <v>276</v>
      </c>
      <c r="B599" s="31" t="s">
        <v>278</v>
      </c>
      <c r="C599" s="31" t="s">
        <v>258</v>
      </c>
      <c r="D599" s="31" t="s">
        <v>282</v>
      </c>
      <c r="E599" s="38">
        <v>42113</v>
      </c>
      <c r="F599" s="35">
        <v>10</v>
      </c>
      <c r="G599" s="35">
        <v>3328</v>
      </c>
      <c r="H599" s="46"/>
      <c r="I599" s="47"/>
    </row>
    <row r="600" spans="1:9" x14ac:dyDescent="0.25">
      <c r="A600" s="31" t="s">
        <v>265</v>
      </c>
      <c r="B600" s="31" t="s">
        <v>266</v>
      </c>
      <c r="C600" s="31" t="s">
        <v>259</v>
      </c>
      <c r="D600" s="31" t="s">
        <v>275</v>
      </c>
      <c r="E600" s="38">
        <v>42115</v>
      </c>
      <c r="F600" s="35">
        <v>11</v>
      </c>
      <c r="G600" s="35">
        <v>3740</v>
      </c>
      <c r="H600" s="46"/>
      <c r="I600" s="47"/>
    </row>
    <row r="601" spans="1:9" x14ac:dyDescent="0.25">
      <c r="A601" s="31" t="s">
        <v>276</v>
      </c>
      <c r="B601" s="31" t="s">
        <v>266</v>
      </c>
      <c r="C601" s="31" t="s">
        <v>259</v>
      </c>
      <c r="D601" s="31" t="s">
        <v>267</v>
      </c>
      <c r="E601" s="38">
        <v>42116</v>
      </c>
      <c r="F601" s="35">
        <v>9</v>
      </c>
      <c r="G601" s="35">
        <v>2915</v>
      </c>
      <c r="H601" s="46"/>
      <c r="I601" s="47"/>
    </row>
    <row r="602" spans="1:9" x14ac:dyDescent="0.25">
      <c r="A602" s="31" t="s">
        <v>268</v>
      </c>
      <c r="B602" s="31" t="s">
        <v>278</v>
      </c>
      <c r="C602" s="31" t="s">
        <v>259</v>
      </c>
      <c r="D602" s="31" t="s">
        <v>282</v>
      </c>
      <c r="E602" s="38">
        <v>42117</v>
      </c>
      <c r="F602" s="35">
        <v>7</v>
      </c>
      <c r="G602" s="35">
        <v>2569</v>
      </c>
      <c r="H602" s="46"/>
      <c r="I602" s="47"/>
    </row>
    <row r="603" spans="1:9" x14ac:dyDescent="0.25">
      <c r="A603" s="31" t="s">
        <v>277</v>
      </c>
      <c r="B603" s="31" t="s">
        <v>266</v>
      </c>
      <c r="C603" s="31" t="s">
        <v>258</v>
      </c>
      <c r="D603" s="31" t="s">
        <v>269</v>
      </c>
      <c r="E603" s="38">
        <v>42117</v>
      </c>
      <c r="F603" s="35">
        <v>12</v>
      </c>
      <c r="G603" s="35">
        <v>4034</v>
      </c>
      <c r="H603" s="46"/>
      <c r="I603" s="47"/>
    </row>
    <row r="604" spans="1:9" x14ac:dyDescent="0.25">
      <c r="A604" s="31" t="s">
        <v>281</v>
      </c>
      <c r="B604" s="31" t="s">
        <v>266</v>
      </c>
      <c r="C604" s="31" t="s">
        <v>258</v>
      </c>
      <c r="D604" s="31" t="s">
        <v>263</v>
      </c>
      <c r="E604" s="38">
        <v>42118</v>
      </c>
      <c r="F604" s="35">
        <v>10</v>
      </c>
      <c r="G604" s="35">
        <v>5319</v>
      </c>
      <c r="H604" s="46"/>
      <c r="I604" s="47"/>
    </row>
    <row r="605" spans="1:9" x14ac:dyDescent="0.25">
      <c r="A605" s="31" t="s">
        <v>279</v>
      </c>
      <c r="B605" s="31" t="s">
        <v>271</v>
      </c>
      <c r="C605" s="31" t="s">
        <v>257</v>
      </c>
      <c r="D605" s="31" t="s">
        <v>282</v>
      </c>
      <c r="E605" s="38">
        <v>42119</v>
      </c>
      <c r="F605" s="35">
        <v>5</v>
      </c>
      <c r="G605" s="35">
        <v>1496</v>
      </c>
      <c r="H605" s="46"/>
      <c r="I605" s="47"/>
    </row>
    <row r="606" spans="1:9" x14ac:dyDescent="0.25">
      <c r="A606" s="31" t="s">
        <v>279</v>
      </c>
      <c r="B606" s="31" t="s">
        <v>266</v>
      </c>
      <c r="C606" s="31" t="s">
        <v>260</v>
      </c>
      <c r="D606" s="31" t="s">
        <v>269</v>
      </c>
      <c r="E606" s="38">
        <v>42120</v>
      </c>
      <c r="F606" s="35">
        <v>21</v>
      </c>
      <c r="G606" s="35">
        <v>9438</v>
      </c>
      <c r="H606" s="46"/>
      <c r="I606" s="47"/>
    </row>
    <row r="607" spans="1:9" x14ac:dyDescent="0.25">
      <c r="A607" s="31" t="s">
        <v>264</v>
      </c>
      <c r="B607" s="31" t="s">
        <v>273</v>
      </c>
      <c r="C607" s="31" t="s">
        <v>258</v>
      </c>
      <c r="D607" s="31" t="s">
        <v>263</v>
      </c>
      <c r="E607" s="38">
        <v>42120</v>
      </c>
      <c r="F607" s="35">
        <v>2</v>
      </c>
      <c r="G607" s="35">
        <v>385</v>
      </c>
      <c r="H607" s="46"/>
      <c r="I607" s="47"/>
    </row>
    <row r="608" spans="1:9" x14ac:dyDescent="0.25">
      <c r="A608" s="31" t="s">
        <v>264</v>
      </c>
      <c r="B608" s="31" t="s">
        <v>262</v>
      </c>
      <c r="C608" s="31" t="s">
        <v>257</v>
      </c>
      <c r="D608" s="31" t="s">
        <v>267</v>
      </c>
      <c r="E608" s="38">
        <v>42122</v>
      </c>
      <c r="F608" s="35">
        <v>11</v>
      </c>
      <c r="G608" s="35">
        <v>4983</v>
      </c>
      <c r="H608" s="46"/>
      <c r="I608" s="47"/>
    </row>
    <row r="609" spans="1:9" x14ac:dyDescent="0.25">
      <c r="A609" s="31" t="s">
        <v>274</v>
      </c>
      <c r="B609" s="31" t="s">
        <v>262</v>
      </c>
      <c r="C609" s="31" t="s">
        <v>258</v>
      </c>
      <c r="D609" s="31" t="s">
        <v>282</v>
      </c>
      <c r="E609" s="38">
        <v>42122</v>
      </c>
      <c r="F609" s="35">
        <v>2</v>
      </c>
      <c r="G609" s="35">
        <v>336</v>
      </c>
      <c r="H609" s="46"/>
      <c r="I609" s="47"/>
    </row>
    <row r="610" spans="1:9" x14ac:dyDescent="0.25">
      <c r="A610" s="31" t="s">
        <v>281</v>
      </c>
      <c r="B610" s="31" t="s">
        <v>262</v>
      </c>
      <c r="C610" s="31" t="s">
        <v>259</v>
      </c>
      <c r="D610" s="31" t="s">
        <v>263</v>
      </c>
      <c r="E610" s="38">
        <v>42123</v>
      </c>
      <c r="F610" s="35">
        <v>10</v>
      </c>
      <c r="G610" s="35">
        <v>3751</v>
      </c>
      <c r="H610" s="46"/>
      <c r="I610" s="47"/>
    </row>
    <row r="611" spans="1:9" x14ac:dyDescent="0.25">
      <c r="A611" s="31" t="s">
        <v>272</v>
      </c>
      <c r="B611" s="31" t="s">
        <v>278</v>
      </c>
      <c r="C611" s="31" t="s">
        <v>258</v>
      </c>
      <c r="D611" s="31" t="s">
        <v>275</v>
      </c>
      <c r="E611" s="38">
        <v>42123</v>
      </c>
      <c r="F611" s="35">
        <v>12</v>
      </c>
      <c r="G611" s="35">
        <v>7178</v>
      </c>
      <c r="H611" s="46"/>
      <c r="I611" s="47"/>
    </row>
    <row r="612" spans="1:9" x14ac:dyDescent="0.25">
      <c r="A612" s="31" t="s">
        <v>261</v>
      </c>
      <c r="B612" s="31" t="s">
        <v>273</v>
      </c>
      <c r="C612" s="31" t="s">
        <v>258</v>
      </c>
      <c r="D612" s="31" t="s">
        <v>267</v>
      </c>
      <c r="E612" s="38">
        <v>42123</v>
      </c>
      <c r="F612" s="35">
        <v>8</v>
      </c>
      <c r="G612" s="35">
        <v>3163</v>
      </c>
      <c r="H612" s="46"/>
      <c r="I612" s="47"/>
    </row>
    <row r="613" spans="1:9" x14ac:dyDescent="0.25">
      <c r="A613" s="31" t="s">
        <v>265</v>
      </c>
      <c r="B613" s="31" t="s">
        <v>278</v>
      </c>
      <c r="C613" s="31" t="s">
        <v>258</v>
      </c>
      <c r="D613" s="31" t="s">
        <v>263</v>
      </c>
      <c r="E613" s="38">
        <v>42123</v>
      </c>
      <c r="F613" s="35">
        <v>8</v>
      </c>
      <c r="G613" s="35">
        <v>3498</v>
      </c>
      <c r="H613" s="46"/>
      <c r="I613" s="47"/>
    </row>
    <row r="614" spans="1:9" x14ac:dyDescent="0.25">
      <c r="A614" s="31" t="s">
        <v>272</v>
      </c>
      <c r="B614" s="31" t="s">
        <v>273</v>
      </c>
      <c r="C614" s="31" t="s">
        <v>259</v>
      </c>
      <c r="D614" s="31" t="s">
        <v>275</v>
      </c>
      <c r="E614" s="38">
        <v>42124</v>
      </c>
      <c r="F614" s="35">
        <v>4</v>
      </c>
      <c r="G614" s="35">
        <v>1408</v>
      </c>
      <c r="H614" s="46"/>
      <c r="I614" s="47"/>
    </row>
    <row r="615" spans="1:9" x14ac:dyDescent="0.25">
      <c r="A615" s="31" t="s">
        <v>277</v>
      </c>
      <c r="B615" s="31" t="s">
        <v>271</v>
      </c>
      <c r="C615" s="31" t="s">
        <v>258</v>
      </c>
      <c r="D615" s="31" t="s">
        <v>275</v>
      </c>
      <c r="E615" s="38">
        <v>42127</v>
      </c>
      <c r="F615" s="35">
        <v>9</v>
      </c>
      <c r="G615" s="35">
        <v>5005</v>
      </c>
      <c r="H615" s="46"/>
      <c r="I615" s="47"/>
    </row>
    <row r="616" spans="1:9" x14ac:dyDescent="0.25">
      <c r="A616" s="31" t="s">
        <v>279</v>
      </c>
      <c r="B616" s="31" t="s">
        <v>262</v>
      </c>
      <c r="C616" s="31" t="s">
        <v>259</v>
      </c>
      <c r="D616" s="31" t="s">
        <v>267</v>
      </c>
      <c r="E616" s="38">
        <v>42127</v>
      </c>
      <c r="F616" s="35">
        <v>11</v>
      </c>
      <c r="G616" s="35">
        <v>3564</v>
      </c>
      <c r="H616" s="46"/>
      <c r="I616" s="47"/>
    </row>
    <row r="617" spans="1:9" x14ac:dyDescent="0.25">
      <c r="A617" s="31" t="s">
        <v>265</v>
      </c>
      <c r="B617" s="31" t="s">
        <v>278</v>
      </c>
      <c r="C617" s="31" t="s">
        <v>259</v>
      </c>
      <c r="D617" s="31" t="s">
        <v>269</v>
      </c>
      <c r="E617" s="38">
        <v>42127</v>
      </c>
      <c r="F617" s="35">
        <v>9</v>
      </c>
      <c r="G617" s="35">
        <v>3682</v>
      </c>
      <c r="H617" s="46"/>
      <c r="I617" s="47"/>
    </row>
    <row r="618" spans="1:9" x14ac:dyDescent="0.25">
      <c r="A618" s="31" t="s">
        <v>268</v>
      </c>
      <c r="B618" s="31" t="s">
        <v>262</v>
      </c>
      <c r="C618" s="31" t="s">
        <v>258</v>
      </c>
      <c r="D618" s="31" t="s">
        <v>275</v>
      </c>
      <c r="E618" s="38">
        <v>42127</v>
      </c>
      <c r="F618" s="35">
        <v>3</v>
      </c>
      <c r="G618" s="35">
        <v>825</v>
      </c>
      <c r="H618" s="46"/>
      <c r="I618" s="47"/>
    </row>
    <row r="619" spans="1:9" x14ac:dyDescent="0.25">
      <c r="A619" s="31" t="s">
        <v>281</v>
      </c>
      <c r="B619" s="31" t="s">
        <v>271</v>
      </c>
      <c r="C619" s="31" t="s">
        <v>260</v>
      </c>
      <c r="D619" s="31" t="s">
        <v>282</v>
      </c>
      <c r="E619" s="38">
        <v>42129</v>
      </c>
      <c r="F619" s="35">
        <v>6</v>
      </c>
      <c r="G619" s="35">
        <v>3146</v>
      </c>
      <c r="H619" s="46"/>
      <c r="I619" s="47"/>
    </row>
    <row r="620" spans="1:9" x14ac:dyDescent="0.25">
      <c r="A620" s="31" t="s">
        <v>265</v>
      </c>
      <c r="B620" s="31" t="s">
        <v>278</v>
      </c>
      <c r="C620" s="31" t="s">
        <v>258</v>
      </c>
      <c r="D620" s="31" t="s">
        <v>275</v>
      </c>
      <c r="E620" s="38">
        <v>42129</v>
      </c>
      <c r="F620" s="35">
        <v>11</v>
      </c>
      <c r="G620" s="35">
        <v>5731</v>
      </c>
      <c r="H620" s="46"/>
      <c r="I620" s="47"/>
    </row>
    <row r="621" spans="1:9" x14ac:dyDescent="0.25">
      <c r="A621" s="31" t="s">
        <v>277</v>
      </c>
      <c r="B621" s="31" t="s">
        <v>273</v>
      </c>
      <c r="C621" s="31" t="s">
        <v>257</v>
      </c>
      <c r="D621" s="31" t="s">
        <v>275</v>
      </c>
      <c r="E621" s="38">
        <v>42129</v>
      </c>
      <c r="F621" s="35">
        <v>15</v>
      </c>
      <c r="G621" s="35">
        <v>7332</v>
      </c>
      <c r="H621" s="46"/>
      <c r="I621" s="47"/>
    </row>
    <row r="622" spans="1:9" x14ac:dyDescent="0.25">
      <c r="A622" s="31" t="s">
        <v>265</v>
      </c>
      <c r="B622" s="31" t="s">
        <v>278</v>
      </c>
      <c r="C622" s="31" t="s">
        <v>260</v>
      </c>
      <c r="D622" s="31" t="s">
        <v>275</v>
      </c>
      <c r="E622" s="38">
        <v>42130</v>
      </c>
      <c r="F622" s="35">
        <v>16</v>
      </c>
      <c r="G622" s="35">
        <v>7805</v>
      </c>
      <c r="H622" s="46"/>
      <c r="I622" s="47"/>
    </row>
    <row r="623" spans="1:9" x14ac:dyDescent="0.25">
      <c r="A623" s="31" t="s">
        <v>279</v>
      </c>
      <c r="B623" s="31" t="s">
        <v>262</v>
      </c>
      <c r="C623" s="31" t="s">
        <v>260</v>
      </c>
      <c r="D623" s="31" t="s">
        <v>275</v>
      </c>
      <c r="E623" s="38">
        <v>42130</v>
      </c>
      <c r="F623" s="35">
        <v>13</v>
      </c>
      <c r="G623" s="35">
        <v>5555</v>
      </c>
      <c r="H623" s="46"/>
      <c r="I623" s="47"/>
    </row>
    <row r="624" spans="1:9" x14ac:dyDescent="0.25">
      <c r="A624" s="31" t="s">
        <v>274</v>
      </c>
      <c r="B624" s="31" t="s">
        <v>273</v>
      </c>
      <c r="C624" s="31" t="s">
        <v>258</v>
      </c>
      <c r="D624" s="31" t="s">
        <v>263</v>
      </c>
      <c r="E624" s="38">
        <v>42132</v>
      </c>
      <c r="F624" s="35">
        <v>3</v>
      </c>
      <c r="G624" s="35">
        <v>831</v>
      </c>
      <c r="H624" s="46"/>
      <c r="I624" s="47"/>
    </row>
    <row r="625" spans="1:9" x14ac:dyDescent="0.25">
      <c r="A625" s="31" t="s">
        <v>264</v>
      </c>
      <c r="B625" s="31" t="s">
        <v>262</v>
      </c>
      <c r="C625" s="31" t="s">
        <v>260</v>
      </c>
      <c r="D625" s="31" t="s">
        <v>269</v>
      </c>
      <c r="E625" s="38">
        <v>42134</v>
      </c>
      <c r="F625" s="35">
        <v>12</v>
      </c>
      <c r="G625" s="35">
        <v>3761</v>
      </c>
      <c r="H625" s="46"/>
      <c r="I625" s="47"/>
    </row>
    <row r="626" spans="1:9" x14ac:dyDescent="0.25">
      <c r="A626" s="31" t="s">
        <v>265</v>
      </c>
      <c r="B626" s="31" t="s">
        <v>266</v>
      </c>
      <c r="C626" s="31" t="s">
        <v>258</v>
      </c>
      <c r="D626" s="31" t="s">
        <v>269</v>
      </c>
      <c r="E626" s="38">
        <v>42134</v>
      </c>
      <c r="F626" s="35">
        <v>15</v>
      </c>
      <c r="G626" s="35">
        <v>5793</v>
      </c>
      <c r="H626" s="46"/>
      <c r="I626" s="47"/>
    </row>
    <row r="627" spans="1:9" x14ac:dyDescent="0.25">
      <c r="A627" s="31" t="s">
        <v>279</v>
      </c>
      <c r="B627" s="31" t="s">
        <v>262</v>
      </c>
      <c r="C627" s="31" t="s">
        <v>258</v>
      </c>
      <c r="D627" s="31" t="s">
        <v>275</v>
      </c>
      <c r="E627" s="38">
        <v>42136</v>
      </c>
      <c r="F627" s="35">
        <v>9</v>
      </c>
      <c r="G627" s="35">
        <v>3108</v>
      </c>
      <c r="H627" s="46"/>
      <c r="I627" s="47"/>
    </row>
    <row r="628" spans="1:9" x14ac:dyDescent="0.25">
      <c r="A628" s="31" t="s">
        <v>276</v>
      </c>
      <c r="B628" s="31" t="s">
        <v>278</v>
      </c>
      <c r="C628" s="31" t="s">
        <v>258</v>
      </c>
      <c r="D628" s="31" t="s">
        <v>269</v>
      </c>
      <c r="E628" s="38">
        <v>42136</v>
      </c>
      <c r="F628" s="35">
        <v>18</v>
      </c>
      <c r="G628" s="35">
        <v>5999</v>
      </c>
      <c r="H628" s="46"/>
      <c r="I628" s="47"/>
    </row>
    <row r="629" spans="1:9" x14ac:dyDescent="0.25">
      <c r="A629" s="31" t="s">
        <v>281</v>
      </c>
      <c r="B629" s="31" t="s">
        <v>273</v>
      </c>
      <c r="C629" s="31" t="s">
        <v>260</v>
      </c>
      <c r="D629" s="31" t="s">
        <v>263</v>
      </c>
      <c r="E629" s="38">
        <v>42137</v>
      </c>
      <c r="F629" s="35">
        <v>14</v>
      </c>
      <c r="G629" s="35">
        <v>7909</v>
      </c>
      <c r="H629" s="46"/>
      <c r="I629" s="47"/>
    </row>
    <row r="630" spans="1:9" x14ac:dyDescent="0.25">
      <c r="A630" s="31" t="s">
        <v>274</v>
      </c>
      <c r="B630" s="31" t="s">
        <v>262</v>
      </c>
      <c r="C630" s="31" t="s">
        <v>260</v>
      </c>
      <c r="D630" s="31" t="s">
        <v>282</v>
      </c>
      <c r="E630" s="38">
        <v>42137</v>
      </c>
      <c r="F630" s="35">
        <v>9</v>
      </c>
      <c r="G630" s="35">
        <v>4004</v>
      </c>
      <c r="H630" s="46"/>
      <c r="I630" s="47"/>
    </row>
    <row r="631" spans="1:9" x14ac:dyDescent="0.25">
      <c r="A631" s="31" t="s">
        <v>268</v>
      </c>
      <c r="B631" s="31" t="s">
        <v>266</v>
      </c>
      <c r="C631" s="31" t="s">
        <v>259</v>
      </c>
      <c r="D631" s="31" t="s">
        <v>275</v>
      </c>
      <c r="E631" s="38">
        <v>42137</v>
      </c>
      <c r="F631" s="35">
        <v>14</v>
      </c>
      <c r="G631" s="35">
        <v>8135</v>
      </c>
      <c r="H631" s="46"/>
      <c r="I631" s="47"/>
    </row>
    <row r="632" spans="1:9" x14ac:dyDescent="0.25">
      <c r="A632" s="31" t="s">
        <v>279</v>
      </c>
      <c r="B632" s="31" t="s">
        <v>273</v>
      </c>
      <c r="C632" s="31" t="s">
        <v>258</v>
      </c>
      <c r="D632" s="31" t="s">
        <v>275</v>
      </c>
      <c r="E632" s="38">
        <v>42138</v>
      </c>
      <c r="F632" s="35">
        <v>7</v>
      </c>
      <c r="G632" s="35">
        <v>3223</v>
      </c>
      <c r="H632" s="46"/>
      <c r="I632" s="47"/>
    </row>
    <row r="633" spans="1:9" x14ac:dyDescent="0.25">
      <c r="A633" s="31" t="s">
        <v>265</v>
      </c>
      <c r="B633" s="31" t="s">
        <v>278</v>
      </c>
      <c r="C633" s="31" t="s">
        <v>258</v>
      </c>
      <c r="D633" s="31" t="s">
        <v>275</v>
      </c>
      <c r="E633" s="38">
        <v>42140</v>
      </c>
      <c r="F633" s="35">
        <v>3</v>
      </c>
      <c r="G633" s="35">
        <v>754</v>
      </c>
      <c r="H633" s="46"/>
      <c r="I633" s="47"/>
    </row>
    <row r="634" spans="1:9" x14ac:dyDescent="0.25">
      <c r="A634" s="31" t="s">
        <v>277</v>
      </c>
      <c r="B634" s="31" t="s">
        <v>271</v>
      </c>
      <c r="C634" s="31" t="s">
        <v>259</v>
      </c>
      <c r="D634" s="31" t="s">
        <v>269</v>
      </c>
      <c r="E634" s="38">
        <v>42140</v>
      </c>
      <c r="F634" s="35">
        <v>8</v>
      </c>
      <c r="G634" s="35">
        <v>3696</v>
      </c>
      <c r="H634" s="46"/>
      <c r="I634" s="47"/>
    </row>
    <row r="635" spans="1:9" x14ac:dyDescent="0.25">
      <c r="A635" s="31" t="s">
        <v>274</v>
      </c>
      <c r="B635" s="31" t="s">
        <v>266</v>
      </c>
      <c r="C635" s="31" t="s">
        <v>258</v>
      </c>
      <c r="D635" s="31" t="s">
        <v>269</v>
      </c>
      <c r="E635" s="38">
        <v>42141</v>
      </c>
      <c r="F635" s="35">
        <v>8</v>
      </c>
      <c r="G635" s="35">
        <v>3754</v>
      </c>
      <c r="H635" s="46"/>
      <c r="I635" s="47"/>
    </row>
    <row r="636" spans="1:9" x14ac:dyDescent="0.25">
      <c r="A636" s="31" t="s">
        <v>270</v>
      </c>
      <c r="B636" s="31" t="s">
        <v>273</v>
      </c>
      <c r="C636" s="31" t="s">
        <v>260</v>
      </c>
      <c r="D636" s="31" t="s">
        <v>267</v>
      </c>
      <c r="E636" s="38">
        <v>42143</v>
      </c>
      <c r="F636" s="35">
        <v>15</v>
      </c>
      <c r="G636" s="35">
        <v>5913</v>
      </c>
      <c r="H636" s="46"/>
      <c r="I636" s="47"/>
    </row>
    <row r="637" spans="1:9" x14ac:dyDescent="0.25">
      <c r="A637" s="31" t="s">
        <v>276</v>
      </c>
      <c r="B637" s="31" t="s">
        <v>262</v>
      </c>
      <c r="C637" s="31" t="s">
        <v>258</v>
      </c>
      <c r="D637" s="31" t="s">
        <v>263</v>
      </c>
      <c r="E637" s="38">
        <v>42143</v>
      </c>
      <c r="F637" s="35">
        <v>11</v>
      </c>
      <c r="G637" s="35">
        <v>6072</v>
      </c>
      <c r="H637" s="46"/>
      <c r="I637" s="47"/>
    </row>
    <row r="638" spans="1:9" x14ac:dyDescent="0.25">
      <c r="A638" s="31" t="s">
        <v>279</v>
      </c>
      <c r="B638" s="31" t="s">
        <v>273</v>
      </c>
      <c r="C638" s="31" t="s">
        <v>260</v>
      </c>
      <c r="D638" s="31" t="s">
        <v>267</v>
      </c>
      <c r="E638" s="38">
        <v>42143</v>
      </c>
      <c r="F638" s="35">
        <v>13</v>
      </c>
      <c r="G638" s="35">
        <v>4857</v>
      </c>
      <c r="H638" s="46"/>
      <c r="I638" s="47"/>
    </row>
    <row r="639" spans="1:9" x14ac:dyDescent="0.25">
      <c r="A639" s="31" t="s">
        <v>274</v>
      </c>
      <c r="B639" s="31" t="s">
        <v>273</v>
      </c>
      <c r="C639" s="31" t="s">
        <v>260</v>
      </c>
      <c r="D639" s="31" t="s">
        <v>282</v>
      </c>
      <c r="E639" s="38">
        <v>42143</v>
      </c>
      <c r="F639" s="35">
        <v>14</v>
      </c>
      <c r="G639" s="35">
        <v>4406</v>
      </c>
      <c r="H639" s="46"/>
      <c r="I639" s="47"/>
    </row>
    <row r="640" spans="1:9" x14ac:dyDescent="0.25">
      <c r="A640" s="31" t="s">
        <v>274</v>
      </c>
      <c r="B640" s="31" t="s">
        <v>266</v>
      </c>
      <c r="C640" s="31" t="s">
        <v>260</v>
      </c>
      <c r="D640" s="31" t="s">
        <v>282</v>
      </c>
      <c r="E640" s="38">
        <v>42144</v>
      </c>
      <c r="F640" s="35">
        <v>3</v>
      </c>
      <c r="G640" s="35">
        <v>1276</v>
      </c>
      <c r="H640" s="46"/>
      <c r="I640" s="47"/>
    </row>
    <row r="641" spans="1:9" x14ac:dyDescent="0.25">
      <c r="A641" s="31" t="s">
        <v>265</v>
      </c>
      <c r="B641" s="31" t="s">
        <v>278</v>
      </c>
      <c r="C641" s="31" t="s">
        <v>258</v>
      </c>
      <c r="D641" s="31" t="s">
        <v>263</v>
      </c>
      <c r="E641" s="38">
        <v>42144</v>
      </c>
      <c r="F641" s="35">
        <v>3</v>
      </c>
      <c r="G641" s="35">
        <v>704</v>
      </c>
      <c r="H641" s="46"/>
      <c r="I641" s="47"/>
    </row>
    <row r="642" spans="1:9" x14ac:dyDescent="0.25">
      <c r="A642" s="31" t="s">
        <v>272</v>
      </c>
      <c r="B642" s="31" t="s">
        <v>262</v>
      </c>
      <c r="C642" s="31" t="s">
        <v>260</v>
      </c>
      <c r="D642" s="31" t="s">
        <v>275</v>
      </c>
      <c r="E642" s="38">
        <v>42144</v>
      </c>
      <c r="F642" s="35">
        <v>6</v>
      </c>
      <c r="G642" s="35">
        <v>3251</v>
      </c>
      <c r="H642" s="46"/>
      <c r="I642" s="47"/>
    </row>
    <row r="643" spans="1:9" x14ac:dyDescent="0.25">
      <c r="A643" s="31" t="s">
        <v>276</v>
      </c>
      <c r="B643" s="31" t="s">
        <v>266</v>
      </c>
      <c r="C643" s="31" t="s">
        <v>260</v>
      </c>
      <c r="D643" s="31" t="s">
        <v>282</v>
      </c>
      <c r="E643" s="38">
        <v>42144</v>
      </c>
      <c r="F643" s="35">
        <v>5</v>
      </c>
      <c r="G643" s="35">
        <v>1733</v>
      </c>
      <c r="H643" s="46"/>
      <c r="I643" s="47"/>
    </row>
    <row r="644" spans="1:9" x14ac:dyDescent="0.25">
      <c r="A644" s="31" t="s">
        <v>272</v>
      </c>
      <c r="B644" s="31" t="s">
        <v>266</v>
      </c>
      <c r="C644" s="31" t="s">
        <v>259</v>
      </c>
      <c r="D644" s="31" t="s">
        <v>269</v>
      </c>
      <c r="E644" s="38">
        <v>42144</v>
      </c>
      <c r="F644" s="35">
        <v>21</v>
      </c>
      <c r="G644" s="35">
        <v>10956</v>
      </c>
      <c r="H644" s="46"/>
      <c r="I644" s="47"/>
    </row>
    <row r="645" spans="1:9" x14ac:dyDescent="0.25">
      <c r="A645" s="31" t="s">
        <v>276</v>
      </c>
      <c r="B645" s="31" t="s">
        <v>273</v>
      </c>
      <c r="C645" s="31" t="s">
        <v>260</v>
      </c>
      <c r="D645" s="31" t="s">
        <v>275</v>
      </c>
      <c r="E645" s="38">
        <v>42146</v>
      </c>
      <c r="F645" s="35">
        <v>14</v>
      </c>
      <c r="G645" s="35">
        <v>7062</v>
      </c>
      <c r="H645" s="46"/>
      <c r="I645" s="47"/>
    </row>
    <row r="646" spans="1:9" x14ac:dyDescent="0.25">
      <c r="A646" s="31" t="s">
        <v>280</v>
      </c>
      <c r="B646" s="31" t="s">
        <v>273</v>
      </c>
      <c r="C646" s="31" t="s">
        <v>257</v>
      </c>
      <c r="D646" s="31" t="s">
        <v>269</v>
      </c>
      <c r="E646" s="38">
        <v>42146</v>
      </c>
      <c r="F646" s="35">
        <v>18</v>
      </c>
      <c r="G646" s="35">
        <v>6490</v>
      </c>
      <c r="H646" s="46"/>
      <c r="I646" s="47"/>
    </row>
    <row r="647" spans="1:9" x14ac:dyDescent="0.25">
      <c r="A647" s="31" t="s">
        <v>276</v>
      </c>
      <c r="B647" s="31" t="s">
        <v>271</v>
      </c>
      <c r="C647" s="31" t="s">
        <v>260</v>
      </c>
      <c r="D647" s="31" t="s">
        <v>263</v>
      </c>
      <c r="E647" s="38">
        <v>42147</v>
      </c>
      <c r="F647" s="35">
        <v>10</v>
      </c>
      <c r="G647" s="35">
        <v>4626</v>
      </c>
      <c r="H647" s="46"/>
      <c r="I647" s="47"/>
    </row>
    <row r="648" spans="1:9" x14ac:dyDescent="0.25">
      <c r="A648" s="31" t="s">
        <v>281</v>
      </c>
      <c r="B648" s="31" t="s">
        <v>266</v>
      </c>
      <c r="C648" s="31" t="s">
        <v>260</v>
      </c>
      <c r="D648" s="31" t="s">
        <v>263</v>
      </c>
      <c r="E648" s="38">
        <v>42148</v>
      </c>
      <c r="F648" s="35">
        <v>13</v>
      </c>
      <c r="G648" s="35">
        <v>6743</v>
      </c>
      <c r="H648" s="46"/>
      <c r="I648" s="47"/>
    </row>
    <row r="649" spans="1:9" x14ac:dyDescent="0.25">
      <c r="A649" s="31" t="s">
        <v>270</v>
      </c>
      <c r="B649" s="31" t="s">
        <v>271</v>
      </c>
      <c r="C649" s="31" t="s">
        <v>260</v>
      </c>
      <c r="D649" s="31" t="s">
        <v>269</v>
      </c>
      <c r="E649" s="38">
        <v>42148</v>
      </c>
      <c r="F649" s="35">
        <v>21</v>
      </c>
      <c r="G649" s="35">
        <v>12232</v>
      </c>
      <c r="H649" s="46"/>
      <c r="I649" s="47"/>
    </row>
    <row r="650" spans="1:9" x14ac:dyDescent="0.25">
      <c r="A650" s="31" t="s">
        <v>274</v>
      </c>
      <c r="B650" s="31" t="s">
        <v>266</v>
      </c>
      <c r="C650" s="31" t="s">
        <v>257</v>
      </c>
      <c r="D650" s="31" t="s">
        <v>269</v>
      </c>
      <c r="E650" s="38">
        <v>42148</v>
      </c>
      <c r="F650" s="35">
        <v>9</v>
      </c>
      <c r="G650" s="35">
        <v>2728</v>
      </c>
      <c r="H650" s="46"/>
      <c r="I650" s="47"/>
    </row>
    <row r="651" spans="1:9" x14ac:dyDescent="0.25">
      <c r="A651" s="31" t="s">
        <v>270</v>
      </c>
      <c r="B651" s="31" t="s">
        <v>262</v>
      </c>
      <c r="C651" s="31" t="s">
        <v>258</v>
      </c>
      <c r="D651" s="31" t="s">
        <v>263</v>
      </c>
      <c r="E651" s="38">
        <v>42148</v>
      </c>
      <c r="F651" s="35">
        <v>10</v>
      </c>
      <c r="G651" s="35">
        <v>4774</v>
      </c>
      <c r="H651" s="46"/>
      <c r="I651" s="47"/>
    </row>
    <row r="652" spans="1:9" x14ac:dyDescent="0.25">
      <c r="A652" s="31" t="s">
        <v>270</v>
      </c>
      <c r="B652" s="31" t="s">
        <v>278</v>
      </c>
      <c r="C652" s="31" t="s">
        <v>260</v>
      </c>
      <c r="D652" s="31" t="s">
        <v>263</v>
      </c>
      <c r="E652" s="38">
        <v>42150</v>
      </c>
      <c r="F652" s="35">
        <v>4</v>
      </c>
      <c r="G652" s="35">
        <v>1524</v>
      </c>
      <c r="H652" s="46"/>
      <c r="I652" s="47"/>
    </row>
    <row r="653" spans="1:9" x14ac:dyDescent="0.25">
      <c r="A653" s="31" t="s">
        <v>264</v>
      </c>
      <c r="B653" s="31" t="s">
        <v>273</v>
      </c>
      <c r="C653" s="31" t="s">
        <v>257</v>
      </c>
      <c r="D653" s="31" t="s">
        <v>275</v>
      </c>
      <c r="E653" s="38">
        <v>42151</v>
      </c>
      <c r="F653" s="35">
        <v>5</v>
      </c>
      <c r="G653" s="35">
        <v>1469</v>
      </c>
      <c r="H653" s="46"/>
      <c r="I653" s="47"/>
    </row>
    <row r="654" spans="1:9" x14ac:dyDescent="0.25">
      <c r="A654" s="31" t="s">
        <v>279</v>
      </c>
      <c r="B654" s="31" t="s">
        <v>266</v>
      </c>
      <c r="C654" s="31" t="s">
        <v>258</v>
      </c>
      <c r="D654" s="31" t="s">
        <v>275</v>
      </c>
      <c r="E654" s="38">
        <v>42151</v>
      </c>
      <c r="F654" s="35">
        <v>11</v>
      </c>
      <c r="G654" s="35">
        <v>5038</v>
      </c>
      <c r="H654" s="46"/>
      <c r="I654" s="47"/>
    </row>
    <row r="655" spans="1:9" x14ac:dyDescent="0.25">
      <c r="A655" s="31" t="s">
        <v>270</v>
      </c>
      <c r="B655" s="31" t="s">
        <v>273</v>
      </c>
      <c r="C655" s="31" t="s">
        <v>259</v>
      </c>
      <c r="D655" s="31" t="s">
        <v>269</v>
      </c>
      <c r="E655" s="38">
        <v>42151</v>
      </c>
      <c r="F655" s="35">
        <v>15</v>
      </c>
      <c r="G655" s="35">
        <v>8898</v>
      </c>
      <c r="H655" s="46"/>
      <c r="I655" s="47"/>
    </row>
    <row r="656" spans="1:9" x14ac:dyDescent="0.25">
      <c r="A656" s="31" t="s">
        <v>261</v>
      </c>
      <c r="B656" s="31" t="s">
        <v>262</v>
      </c>
      <c r="C656" s="31" t="s">
        <v>258</v>
      </c>
      <c r="D656" s="31" t="s">
        <v>267</v>
      </c>
      <c r="E656" s="38">
        <v>42154</v>
      </c>
      <c r="F656" s="35">
        <v>3</v>
      </c>
      <c r="G656" s="35">
        <v>1128</v>
      </c>
      <c r="H656" s="46"/>
      <c r="I656" s="47"/>
    </row>
    <row r="657" spans="1:9" x14ac:dyDescent="0.25">
      <c r="A657" s="31" t="s">
        <v>272</v>
      </c>
      <c r="B657" s="31" t="s">
        <v>273</v>
      </c>
      <c r="C657" s="31" t="s">
        <v>260</v>
      </c>
      <c r="D657" s="31" t="s">
        <v>269</v>
      </c>
      <c r="E657" s="38">
        <v>42154</v>
      </c>
      <c r="F657" s="35">
        <v>7</v>
      </c>
      <c r="G657" s="35">
        <v>2112</v>
      </c>
      <c r="H657" s="46"/>
      <c r="I657" s="47"/>
    </row>
    <row r="658" spans="1:9" x14ac:dyDescent="0.25">
      <c r="A658" s="31" t="s">
        <v>277</v>
      </c>
      <c r="B658" s="31" t="s">
        <v>271</v>
      </c>
      <c r="C658" s="31" t="s">
        <v>257</v>
      </c>
      <c r="D658" s="31" t="s">
        <v>267</v>
      </c>
      <c r="E658" s="38">
        <v>42157</v>
      </c>
      <c r="F658" s="35">
        <v>8</v>
      </c>
      <c r="G658" s="35">
        <v>3218</v>
      </c>
      <c r="H658" s="46"/>
      <c r="I658" s="47"/>
    </row>
    <row r="659" spans="1:9" x14ac:dyDescent="0.25">
      <c r="A659" s="31" t="s">
        <v>279</v>
      </c>
      <c r="B659" s="31" t="s">
        <v>266</v>
      </c>
      <c r="C659" s="31" t="s">
        <v>260</v>
      </c>
      <c r="D659" s="31" t="s">
        <v>282</v>
      </c>
      <c r="E659" s="38">
        <v>42158</v>
      </c>
      <c r="F659" s="35">
        <v>4</v>
      </c>
      <c r="G659" s="35">
        <v>1947</v>
      </c>
      <c r="H659" s="46"/>
      <c r="I659" s="47"/>
    </row>
    <row r="660" spans="1:9" x14ac:dyDescent="0.25">
      <c r="A660" s="31" t="s">
        <v>274</v>
      </c>
      <c r="B660" s="31" t="s">
        <v>262</v>
      </c>
      <c r="C660" s="31" t="s">
        <v>257</v>
      </c>
      <c r="D660" s="31" t="s">
        <v>269</v>
      </c>
      <c r="E660" s="38">
        <v>42160</v>
      </c>
      <c r="F660" s="35">
        <v>9</v>
      </c>
      <c r="G660" s="35">
        <v>3520</v>
      </c>
      <c r="H660" s="46"/>
      <c r="I660" s="47"/>
    </row>
    <row r="661" spans="1:9" x14ac:dyDescent="0.25">
      <c r="A661" s="31" t="s">
        <v>276</v>
      </c>
      <c r="B661" s="31" t="s">
        <v>271</v>
      </c>
      <c r="C661" s="31" t="s">
        <v>260</v>
      </c>
      <c r="D661" s="31" t="s">
        <v>263</v>
      </c>
      <c r="E661" s="38">
        <v>42160</v>
      </c>
      <c r="F661" s="35">
        <v>10</v>
      </c>
      <c r="G661" s="35">
        <v>5506</v>
      </c>
      <c r="H661" s="46"/>
      <c r="I661" s="47"/>
    </row>
    <row r="662" spans="1:9" x14ac:dyDescent="0.25">
      <c r="A662" s="31" t="s">
        <v>264</v>
      </c>
      <c r="B662" s="31" t="s">
        <v>266</v>
      </c>
      <c r="C662" s="31" t="s">
        <v>257</v>
      </c>
      <c r="D662" s="31" t="s">
        <v>269</v>
      </c>
      <c r="E662" s="38">
        <v>42161</v>
      </c>
      <c r="F662" s="35">
        <v>12</v>
      </c>
      <c r="G662" s="35">
        <v>5133</v>
      </c>
      <c r="H662" s="46"/>
      <c r="I662" s="47"/>
    </row>
    <row r="663" spans="1:9" x14ac:dyDescent="0.25">
      <c r="A663" s="31" t="s">
        <v>276</v>
      </c>
      <c r="B663" s="31" t="s">
        <v>271</v>
      </c>
      <c r="C663" s="31" t="s">
        <v>260</v>
      </c>
      <c r="D663" s="31" t="s">
        <v>282</v>
      </c>
      <c r="E663" s="38">
        <v>42161</v>
      </c>
      <c r="F663" s="35">
        <v>12</v>
      </c>
      <c r="G663" s="35">
        <v>5748</v>
      </c>
      <c r="H663" s="46"/>
      <c r="I663" s="47"/>
    </row>
    <row r="664" spans="1:9" x14ac:dyDescent="0.25">
      <c r="A664" s="31" t="s">
        <v>279</v>
      </c>
      <c r="B664" s="31" t="s">
        <v>278</v>
      </c>
      <c r="C664" s="31" t="s">
        <v>257</v>
      </c>
      <c r="D664" s="31" t="s">
        <v>263</v>
      </c>
      <c r="E664" s="38">
        <v>42165</v>
      </c>
      <c r="F664" s="35">
        <v>12</v>
      </c>
      <c r="G664" s="35">
        <v>6919</v>
      </c>
      <c r="H664" s="46"/>
      <c r="I664" s="47"/>
    </row>
    <row r="665" spans="1:9" x14ac:dyDescent="0.25">
      <c r="A665" s="31" t="s">
        <v>274</v>
      </c>
      <c r="B665" s="31" t="s">
        <v>278</v>
      </c>
      <c r="C665" s="31" t="s">
        <v>258</v>
      </c>
      <c r="D665" s="31" t="s">
        <v>263</v>
      </c>
      <c r="E665" s="38">
        <v>42165</v>
      </c>
      <c r="F665" s="35">
        <v>12</v>
      </c>
      <c r="G665" s="35">
        <v>4609</v>
      </c>
      <c r="H665" s="46"/>
      <c r="I665" s="47"/>
    </row>
    <row r="666" spans="1:9" x14ac:dyDescent="0.25">
      <c r="A666" s="31" t="s">
        <v>279</v>
      </c>
      <c r="B666" s="31" t="s">
        <v>266</v>
      </c>
      <c r="C666" s="31" t="s">
        <v>260</v>
      </c>
      <c r="D666" s="31" t="s">
        <v>267</v>
      </c>
      <c r="E666" s="38">
        <v>42165</v>
      </c>
      <c r="F666" s="35">
        <v>2</v>
      </c>
      <c r="G666" s="35">
        <v>369</v>
      </c>
      <c r="H666" s="46"/>
      <c r="I666" s="47"/>
    </row>
    <row r="667" spans="1:9" x14ac:dyDescent="0.25">
      <c r="A667" s="31" t="s">
        <v>280</v>
      </c>
      <c r="B667" s="31" t="s">
        <v>262</v>
      </c>
      <c r="C667" s="31" t="s">
        <v>257</v>
      </c>
      <c r="D667" s="31" t="s">
        <v>275</v>
      </c>
      <c r="E667" s="38">
        <v>42167</v>
      </c>
      <c r="F667" s="35">
        <v>2</v>
      </c>
      <c r="G667" s="35">
        <v>490</v>
      </c>
      <c r="H667" s="46"/>
      <c r="I667" s="47"/>
    </row>
    <row r="668" spans="1:9" x14ac:dyDescent="0.25">
      <c r="A668" s="31" t="s">
        <v>272</v>
      </c>
      <c r="B668" s="31" t="s">
        <v>271</v>
      </c>
      <c r="C668" s="31" t="s">
        <v>259</v>
      </c>
      <c r="D668" s="31" t="s">
        <v>267</v>
      </c>
      <c r="E668" s="38">
        <v>42167</v>
      </c>
      <c r="F668" s="35">
        <v>4</v>
      </c>
      <c r="G668" s="35">
        <v>1221</v>
      </c>
      <c r="H668" s="46"/>
      <c r="I668" s="47"/>
    </row>
    <row r="669" spans="1:9" x14ac:dyDescent="0.25">
      <c r="A669" s="31" t="s">
        <v>272</v>
      </c>
      <c r="B669" s="31" t="s">
        <v>266</v>
      </c>
      <c r="C669" s="31" t="s">
        <v>260</v>
      </c>
      <c r="D669" s="31" t="s">
        <v>267</v>
      </c>
      <c r="E669" s="38">
        <v>42167</v>
      </c>
      <c r="F669" s="35">
        <v>2</v>
      </c>
      <c r="G669" s="35">
        <v>473</v>
      </c>
      <c r="H669" s="46"/>
      <c r="I669" s="47"/>
    </row>
    <row r="670" spans="1:9" x14ac:dyDescent="0.25">
      <c r="A670" s="31" t="s">
        <v>274</v>
      </c>
      <c r="B670" s="31" t="s">
        <v>266</v>
      </c>
      <c r="C670" s="31" t="s">
        <v>258</v>
      </c>
      <c r="D670" s="31" t="s">
        <v>267</v>
      </c>
      <c r="E670" s="38">
        <v>42169</v>
      </c>
      <c r="F670" s="35">
        <v>13</v>
      </c>
      <c r="G670" s="35">
        <v>4279</v>
      </c>
      <c r="H670" s="46"/>
      <c r="I670" s="47"/>
    </row>
    <row r="671" spans="1:9" x14ac:dyDescent="0.25">
      <c r="A671" s="31" t="s">
        <v>274</v>
      </c>
      <c r="B671" s="31" t="s">
        <v>262</v>
      </c>
      <c r="C671" s="31" t="s">
        <v>257</v>
      </c>
      <c r="D671" s="31" t="s">
        <v>267</v>
      </c>
      <c r="E671" s="38">
        <v>42169</v>
      </c>
      <c r="F671" s="35">
        <v>8</v>
      </c>
      <c r="G671" s="35">
        <v>3806</v>
      </c>
      <c r="H671" s="46"/>
      <c r="I671" s="47"/>
    </row>
    <row r="672" spans="1:9" x14ac:dyDescent="0.25">
      <c r="A672" s="31" t="s">
        <v>268</v>
      </c>
      <c r="B672" s="31" t="s">
        <v>266</v>
      </c>
      <c r="C672" s="31" t="s">
        <v>259</v>
      </c>
      <c r="D672" s="31" t="s">
        <v>269</v>
      </c>
      <c r="E672" s="38">
        <v>42172</v>
      </c>
      <c r="F672" s="35">
        <v>20</v>
      </c>
      <c r="G672" s="35">
        <v>10681</v>
      </c>
      <c r="H672" s="46"/>
      <c r="I672" s="47"/>
    </row>
    <row r="673" spans="1:9" x14ac:dyDescent="0.25">
      <c r="A673" s="31" t="s">
        <v>274</v>
      </c>
      <c r="B673" s="31" t="s">
        <v>278</v>
      </c>
      <c r="C673" s="31" t="s">
        <v>260</v>
      </c>
      <c r="D673" s="31" t="s">
        <v>263</v>
      </c>
      <c r="E673" s="38">
        <v>42173</v>
      </c>
      <c r="F673" s="35">
        <v>4</v>
      </c>
      <c r="G673" s="35">
        <v>1529</v>
      </c>
      <c r="H673" s="46"/>
      <c r="I673" s="47"/>
    </row>
    <row r="674" spans="1:9" x14ac:dyDescent="0.25">
      <c r="A674" s="31" t="s">
        <v>261</v>
      </c>
      <c r="B674" s="31" t="s">
        <v>266</v>
      </c>
      <c r="C674" s="31" t="s">
        <v>258</v>
      </c>
      <c r="D674" s="31" t="s">
        <v>263</v>
      </c>
      <c r="E674" s="38">
        <v>42173</v>
      </c>
      <c r="F674" s="35">
        <v>9</v>
      </c>
      <c r="G674" s="35">
        <v>3388</v>
      </c>
      <c r="H674" s="46"/>
      <c r="I674" s="47"/>
    </row>
    <row r="675" spans="1:9" x14ac:dyDescent="0.25">
      <c r="A675" s="31" t="s">
        <v>268</v>
      </c>
      <c r="B675" s="31" t="s">
        <v>266</v>
      </c>
      <c r="C675" s="31" t="s">
        <v>260</v>
      </c>
      <c r="D675" s="31" t="s">
        <v>269</v>
      </c>
      <c r="E675" s="38">
        <v>42173</v>
      </c>
      <c r="F675" s="35">
        <v>18</v>
      </c>
      <c r="G675" s="35">
        <v>10940</v>
      </c>
      <c r="H675" s="46"/>
      <c r="I675" s="47"/>
    </row>
    <row r="676" spans="1:9" x14ac:dyDescent="0.25">
      <c r="A676" s="31" t="s">
        <v>274</v>
      </c>
      <c r="B676" s="31" t="s">
        <v>266</v>
      </c>
      <c r="C676" s="31" t="s">
        <v>260</v>
      </c>
      <c r="D676" s="31" t="s">
        <v>269</v>
      </c>
      <c r="E676" s="38">
        <v>42173</v>
      </c>
      <c r="F676" s="35">
        <v>17</v>
      </c>
      <c r="G676" s="35">
        <v>8920</v>
      </c>
      <c r="H676" s="46"/>
      <c r="I676" s="47"/>
    </row>
    <row r="677" spans="1:9" x14ac:dyDescent="0.25">
      <c r="A677" s="31" t="s">
        <v>279</v>
      </c>
      <c r="B677" s="31" t="s">
        <v>278</v>
      </c>
      <c r="C677" s="31" t="s">
        <v>260</v>
      </c>
      <c r="D677" s="31" t="s">
        <v>275</v>
      </c>
      <c r="E677" s="38">
        <v>42174</v>
      </c>
      <c r="F677" s="35">
        <v>16</v>
      </c>
      <c r="G677" s="35">
        <v>5957</v>
      </c>
      <c r="H677" s="46"/>
      <c r="I677" s="47"/>
    </row>
    <row r="678" spans="1:9" x14ac:dyDescent="0.25">
      <c r="A678" s="31" t="s">
        <v>280</v>
      </c>
      <c r="B678" s="31" t="s">
        <v>273</v>
      </c>
      <c r="C678" s="31" t="s">
        <v>259</v>
      </c>
      <c r="D678" s="31" t="s">
        <v>267</v>
      </c>
      <c r="E678" s="38">
        <v>42175</v>
      </c>
      <c r="F678" s="35">
        <v>14</v>
      </c>
      <c r="G678" s="35">
        <v>7381</v>
      </c>
      <c r="H678" s="46"/>
      <c r="I678" s="47"/>
    </row>
    <row r="679" spans="1:9" x14ac:dyDescent="0.25">
      <c r="A679" s="31" t="s">
        <v>268</v>
      </c>
      <c r="B679" s="31" t="s">
        <v>273</v>
      </c>
      <c r="C679" s="31" t="s">
        <v>259</v>
      </c>
      <c r="D679" s="31" t="s">
        <v>275</v>
      </c>
      <c r="E679" s="38">
        <v>42175</v>
      </c>
      <c r="F679" s="35">
        <v>4</v>
      </c>
      <c r="G679" s="35">
        <v>1040</v>
      </c>
      <c r="H679" s="46"/>
      <c r="I679" s="47"/>
    </row>
    <row r="680" spans="1:9" x14ac:dyDescent="0.25">
      <c r="A680" s="31" t="s">
        <v>279</v>
      </c>
      <c r="B680" s="31" t="s">
        <v>278</v>
      </c>
      <c r="C680" s="31" t="s">
        <v>259</v>
      </c>
      <c r="D680" s="31" t="s">
        <v>267</v>
      </c>
      <c r="E680" s="38">
        <v>42176</v>
      </c>
      <c r="F680" s="35">
        <v>7</v>
      </c>
      <c r="G680" s="35">
        <v>3273</v>
      </c>
      <c r="H680" s="46"/>
      <c r="I680" s="47"/>
    </row>
    <row r="681" spans="1:9" x14ac:dyDescent="0.25">
      <c r="A681" s="31" t="s">
        <v>274</v>
      </c>
      <c r="B681" s="31" t="s">
        <v>262</v>
      </c>
      <c r="C681" s="31" t="s">
        <v>259</v>
      </c>
      <c r="D681" s="31" t="s">
        <v>282</v>
      </c>
      <c r="E681" s="38">
        <v>42176</v>
      </c>
      <c r="F681" s="35">
        <v>6</v>
      </c>
      <c r="G681" s="35">
        <v>3223</v>
      </c>
      <c r="H681" s="46"/>
      <c r="I681" s="47"/>
    </row>
    <row r="682" spans="1:9" x14ac:dyDescent="0.25">
      <c r="A682" s="31" t="s">
        <v>272</v>
      </c>
      <c r="B682" s="31" t="s">
        <v>262</v>
      </c>
      <c r="C682" s="31" t="s">
        <v>257</v>
      </c>
      <c r="D682" s="31" t="s">
        <v>282</v>
      </c>
      <c r="E682" s="38">
        <v>42178</v>
      </c>
      <c r="F682" s="35">
        <v>3</v>
      </c>
      <c r="G682" s="35">
        <v>979</v>
      </c>
      <c r="H682" s="46"/>
      <c r="I682" s="47"/>
    </row>
    <row r="683" spans="1:9" x14ac:dyDescent="0.25">
      <c r="A683" s="31" t="s">
        <v>279</v>
      </c>
      <c r="B683" s="31" t="s">
        <v>271</v>
      </c>
      <c r="C683" s="31" t="s">
        <v>259</v>
      </c>
      <c r="D683" s="31" t="s">
        <v>282</v>
      </c>
      <c r="E683" s="38">
        <v>42178</v>
      </c>
      <c r="F683" s="35">
        <v>16</v>
      </c>
      <c r="G683" s="35">
        <v>9669</v>
      </c>
      <c r="H683" s="46"/>
      <c r="I683" s="47"/>
    </row>
    <row r="684" spans="1:9" x14ac:dyDescent="0.25">
      <c r="A684" s="31" t="s">
        <v>264</v>
      </c>
      <c r="B684" s="31" t="s">
        <v>271</v>
      </c>
      <c r="C684" s="31" t="s">
        <v>258</v>
      </c>
      <c r="D684" s="31" t="s">
        <v>269</v>
      </c>
      <c r="E684" s="38">
        <v>42179</v>
      </c>
      <c r="F684" s="35">
        <v>10</v>
      </c>
      <c r="G684" s="35">
        <v>5185</v>
      </c>
      <c r="H684" s="46"/>
      <c r="I684" s="47"/>
    </row>
    <row r="685" spans="1:9" x14ac:dyDescent="0.25">
      <c r="A685" s="31" t="s">
        <v>277</v>
      </c>
      <c r="B685" s="31" t="s">
        <v>278</v>
      </c>
      <c r="C685" s="31" t="s">
        <v>259</v>
      </c>
      <c r="D685" s="31" t="s">
        <v>282</v>
      </c>
      <c r="E685" s="38">
        <v>42179</v>
      </c>
      <c r="F685" s="35">
        <v>9</v>
      </c>
      <c r="G685" s="35">
        <v>2849</v>
      </c>
      <c r="H685" s="46"/>
      <c r="I685" s="47"/>
    </row>
    <row r="686" spans="1:9" x14ac:dyDescent="0.25">
      <c r="A686" s="31" t="s">
        <v>264</v>
      </c>
      <c r="B686" s="31" t="s">
        <v>278</v>
      </c>
      <c r="C686" s="31" t="s">
        <v>260</v>
      </c>
      <c r="D686" s="31" t="s">
        <v>267</v>
      </c>
      <c r="E686" s="38">
        <v>42179</v>
      </c>
      <c r="F686" s="35">
        <v>5</v>
      </c>
      <c r="G686" s="35">
        <v>1755</v>
      </c>
      <c r="H686" s="46"/>
      <c r="I686" s="47"/>
    </row>
    <row r="687" spans="1:9" x14ac:dyDescent="0.25">
      <c r="A687" s="31" t="s">
        <v>281</v>
      </c>
      <c r="B687" s="31" t="s">
        <v>266</v>
      </c>
      <c r="C687" s="31" t="s">
        <v>257</v>
      </c>
      <c r="D687" s="31" t="s">
        <v>269</v>
      </c>
      <c r="E687" s="38">
        <v>42180</v>
      </c>
      <c r="F687" s="35">
        <v>11</v>
      </c>
      <c r="G687" s="35">
        <v>4378</v>
      </c>
      <c r="H687" s="46"/>
      <c r="I687" s="47"/>
    </row>
    <row r="688" spans="1:9" x14ac:dyDescent="0.25">
      <c r="A688" s="31" t="s">
        <v>264</v>
      </c>
      <c r="B688" s="31" t="s">
        <v>278</v>
      </c>
      <c r="C688" s="31" t="s">
        <v>257</v>
      </c>
      <c r="D688" s="31" t="s">
        <v>267</v>
      </c>
      <c r="E688" s="38">
        <v>42181</v>
      </c>
      <c r="F688" s="35">
        <v>5</v>
      </c>
      <c r="G688" s="35">
        <v>1711</v>
      </c>
      <c r="H688" s="46"/>
      <c r="I688" s="47"/>
    </row>
    <row r="689" spans="1:9" x14ac:dyDescent="0.25">
      <c r="A689" s="31" t="s">
        <v>261</v>
      </c>
      <c r="B689" s="31" t="s">
        <v>271</v>
      </c>
      <c r="C689" s="31" t="s">
        <v>260</v>
      </c>
      <c r="D689" s="31" t="s">
        <v>275</v>
      </c>
      <c r="E689" s="38">
        <v>42181</v>
      </c>
      <c r="F689" s="35">
        <v>14</v>
      </c>
      <c r="G689" s="35">
        <v>4521</v>
      </c>
      <c r="H689" s="46"/>
      <c r="I689" s="47"/>
    </row>
    <row r="690" spans="1:9" x14ac:dyDescent="0.25">
      <c r="A690" s="31" t="s">
        <v>265</v>
      </c>
      <c r="B690" s="31" t="s">
        <v>273</v>
      </c>
      <c r="C690" s="31" t="s">
        <v>258</v>
      </c>
      <c r="D690" s="31" t="s">
        <v>269</v>
      </c>
      <c r="E690" s="38">
        <v>42183</v>
      </c>
      <c r="F690" s="35">
        <v>9</v>
      </c>
      <c r="G690" s="35">
        <v>3110</v>
      </c>
      <c r="H690" s="46"/>
      <c r="I690" s="47"/>
    </row>
    <row r="691" spans="1:9" x14ac:dyDescent="0.25">
      <c r="A691" s="31" t="s">
        <v>265</v>
      </c>
      <c r="B691" s="31" t="s">
        <v>278</v>
      </c>
      <c r="C691" s="31" t="s">
        <v>257</v>
      </c>
      <c r="D691" s="31" t="s">
        <v>282</v>
      </c>
      <c r="E691" s="38">
        <v>42185</v>
      </c>
      <c r="F691" s="35">
        <v>11</v>
      </c>
      <c r="G691" s="35">
        <v>5401</v>
      </c>
      <c r="H691" s="46"/>
      <c r="I691" s="47"/>
    </row>
    <row r="692" spans="1:9" x14ac:dyDescent="0.25">
      <c r="A692" s="31" t="s">
        <v>279</v>
      </c>
      <c r="B692" s="31" t="s">
        <v>278</v>
      </c>
      <c r="C692" s="31" t="s">
        <v>259</v>
      </c>
      <c r="D692" s="31" t="s">
        <v>263</v>
      </c>
      <c r="E692" s="38">
        <v>42185</v>
      </c>
      <c r="F692" s="35">
        <v>16</v>
      </c>
      <c r="G692" s="35">
        <v>5412</v>
      </c>
      <c r="H692" s="46"/>
      <c r="I692" s="47"/>
    </row>
    <row r="693" spans="1:9" x14ac:dyDescent="0.25">
      <c r="A693" s="31" t="s">
        <v>279</v>
      </c>
      <c r="B693" s="31" t="s">
        <v>262</v>
      </c>
      <c r="C693" s="31" t="s">
        <v>259</v>
      </c>
      <c r="D693" s="31" t="s">
        <v>282</v>
      </c>
      <c r="E693" s="38">
        <v>42185</v>
      </c>
      <c r="F693" s="35">
        <v>8</v>
      </c>
      <c r="G693" s="35">
        <v>4384</v>
      </c>
      <c r="H693" s="46"/>
      <c r="I693" s="47"/>
    </row>
    <row r="694" spans="1:9" x14ac:dyDescent="0.25">
      <c r="A694" s="31" t="s">
        <v>274</v>
      </c>
      <c r="B694" s="31" t="s">
        <v>273</v>
      </c>
      <c r="C694" s="31" t="s">
        <v>258</v>
      </c>
      <c r="D694" s="31" t="s">
        <v>263</v>
      </c>
      <c r="E694" s="38">
        <v>42185</v>
      </c>
      <c r="F694" s="35">
        <v>4</v>
      </c>
      <c r="G694" s="35">
        <v>1656</v>
      </c>
      <c r="H694" s="46"/>
      <c r="I694" s="47"/>
    </row>
    <row r="695" spans="1:9" x14ac:dyDescent="0.25">
      <c r="A695" s="31" t="s">
        <v>276</v>
      </c>
      <c r="B695" s="31" t="s">
        <v>266</v>
      </c>
      <c r="C695" s="31" t="s">
        <v>257</v>
      </c>
      <c r="D695" s="31" t="s">
        <v>263</v>
      </c>
      <c r="E695" s="38">
        <v>42186</v>
      </c>
      <c r="F695" s="35">
        <v>6</v>
      </c>
      <c r="G695" s="35">
        <v>2376</v>
      </c>
      <c r="H695" s="46"/>
      <c r="I695" s="47"/>
    </row>
    <row r="696" spans="1:9" x14ac:dyDescent="0.25">
      <c r="A696" s="31" t="s">
        <v>264</v>
      </c>
      <c r="B696" s="31" t="s">
        <v>278</v>
      </c>
      <c r="C696" s="31" t="s">
        <v>260</v>
      </c>
      <c r="D696" s="31" t="s">
        <v>275</v>
      </c>
      <c r="E696" s="38">
        <v>42186</v>
      </c>
      <c r="F696" s="35">
        <v>15</v>
      </c>
      <c r="G696" s="35">
        <v>5407</v>
      </c>
      <c r="H696" s="46"/>
      <c r="I696" s="47"/>
    </row>
    <row r="697" spans="1:9" x14ac:dyDescent="0.25">
      <c r="A697" s="31" t="s">
        <v>281</v>
      </c>
      <c r="B697" s="31" t="s">
        <v>278</v>
      </c>
      <c r="C697" s="31" t="s">
        <v>259</v>
      </c>
      <c r="D697" s="31" t="s">
        <v>267</v>
      </c>
      <c r="E697" s="38">
        <v>42186</v>
      </c>
      <c r="F697" s="35">
        <v>4</v>
      </c>
      <c r="G697" s="35">
        <v>1381</v>
      </c>
      <c r="H697" s="46"/>
      <c r="I697" s="47"/>
    </row>
    <row r="698" spans="1:9" x14ac:dyDescent="0.25">
      <c r="A698" s="31" t="s">
        <v>268</v>
      </c>
      <c r="B698" s="31" t="s">
        <v>273</v>
      </c>
      <c r="C698" s="31" t="s">
        <v>260</v>
      </c>
      <c r="D698" s="31" t="s">
        <v>269</v>
      </c>
      <c r="E698" s="38">
        <v>42186</v>
      </c>
      <c r="F698" s="35">
        <v>18</v>
      </c>
      <c r="G698" s="35">
        <v>6303</v>
      </c>
      <c r="H698" s="46"/>
      <c r="I698" s="47"/>
    </row>
    <row r="699" spans="1:9" x14ac:dyDescent="0.25">
      <c r="A699" s="31" t="s">
        <v>277</v>
      </c>
      <c r="B699" s="31" t="s">
        <v>262</v>
      </c>
      <c r="C699" s="31" t="s">
        <v>258</v>
      </c>
      <c r="D699" s="31" t="s">
        <v>269</v>
      </c>
      <c r="E699" s="38">
        <v>42187</v>
      </c>
      <c r="F699" s="35">
        <v>7</v>
      </c>
      <c r="G699" s="35">
        <v>3696</v>
      </c>
      <c r="H699" s="46"/>
      <c r="I699" s="47"/>
    </row>
    <row r="700" spans="1:9" x14ac:dyDescent="0.25">
      <c r="A700" s="31" t="s">
        <v>277</v>
      </c>
      <c r="B700" s="31" t="s">
        <v>262</v>
      </c>
      <c r="C700" s="31" t="s">
        <v>260</v>
      </c>
      <c r="D700" s="31" t="s">
        <v>269</v>
      </c>
      <c r="E700" s="38">
        <v>42188</v>
      </c>
      <c r="F700" s="35">
        <v>10</v>
      </c>
      <c r="G700" s="35">
        <v>3020</v>
      </c>
      <c r="H700" s="46"/>
      <c r="I700" s="47"/>
    </row>
    <row r="701" spans="1:9" x14ac:dyDescent="0.25">
      <c r="A701" s="31" t="s">
        <v>281</v>
      </c>
      <c r="B701" s="31" t="s">
        <v>262</v>
      </c>
      <c r="C701" s="31" t="s">
        <v>260</v>
      </c>
      <c r="D701" s="31" t="s">
        <v>282</v>
      </c>
      <c r="E701" s="38">
        <v>42188</v>
      </c>
      <c r="F701" s="35">
        <v>7</v>
      </c>
      <c r="G701" s="35">
        <v>2250</v>
      </c>
      <c r="H701" s="46"/>
      <c r="I701" s="47"/>
    </row>
    <row r="702" spans="1:9" x14ac:dyDescent="0.25">
      <c r="A702" s="31" t="s">
        <v>277</v>
      </c>
      <c r="B702" s="31" t="s">
        <v>273</v>
      </c>
      <c r="C702" s="31" t="s">
        <v>258</v>
      </c>
      <c r="D702" s="31" t="s">
        <v>282</v>
      </c>
      <c r="E702" s="38">
        <v>42189</v>
      </c>
      <c r="F702" s="35">
        <v>5</v>
      </c>
      <c r="G702" s="35">
        <v>1436</v>
      </c>
      <c r="H702" s="46"/>
      <c r="I702" s="47"/>
    </row>
    <row r="703" spans="1:9" x14ac:dyDescent="0.25">
      <c r="A703" s="31" t="s">
        <v>272</v>
      </c>
      <c r="B703" s="31" t="s">
        <v>266</v>
      </c>
      <c r="C703" s="31" t="s">
        <v>258</v>
      </c>
      <c r="D703" s="31" t="s">
        <v>282</v>
      </c>
      <c r="E703" s="38">
        <v>42189</v>
      </c>
      <c r="F703" s="35">
        <v>8</v>
      </c>
      <c r="G703" s="35">
        <v>2866</v>
      </c>
      <c r="H703" s="46"/>
      <c r="I703" s="47"/>
    </row>
    <row r="704" spans="1:9" x14ac:dyDescent="0.25">
      <c r="A704" s="31" t="s">
        <v>264</v>
      </c>
      <c r="B704" s="31" t="s">
        <v>273</v>
      </c>
      <c r="C704" s="31" t="s">
        <v>258</v>
      </c>
      <c r="D704" s="31" t="s">
        <v>269</v>
      </c>
      <c r="E704" s="38">
        <v>42190</v>
      </c>
      <c r="F704" s="35">
        <v>14</v>
      </c>
      <c r="G704" s="35">
        <v>6381</v>
      </c>
      <c r="H704" s="46"/>
      <c r="I704" s="47"/>
    </row>
    <row r="705" spans="1:9" x14ac:dyDescent="0.25">
      <c r="A705" s="31" t="s">
        <v>274</v>
      </c>
      <c r="B705" s="31" t="s">
        <v>278</v>
      </c>
      <c r="C705" s="31" t="s">
        <v>258</v>
      </c>
      <c r="D705" s="31" t="s">
        <v>263</v>
      </c>
      <c r="E705" s="38">
        <v>42193</v>
      </c>
      <c r="F705" s="35">
        <v>4</v>
      </c>
      <c r="G705" s="35">
        <v>1694</v>
      </c>
      <c r="H705" s="46"/>
      <c r="I705" s="47"/>
    </row>
    <row r="706" spans="1:9" x14ac:dyDescent="0.25">
      <c r="A706" s="31" t="s">
        <v>279</v>
      </c>
      <c r="B706" s="31" t="s">
        <v>278</v>
      </c>
      <c r="C706" s="31" t="s">
        <v>258</v>
      </c>
      <c r="D706" s="31" t="s">
        <v>282</v>
      </c>
      <c r="E706" s="38">
        <v>42193</v>
      </c>
      <c r="F706" s="35">
        <v>13</v>
      </c>
      <c r="G706" s="35">
        <v>5137</v>
      </c>
      <c r="H706" s="46"/>
      <c r="I706" s="47"/>
    </row>
    <row r="707" spans="1:9" x14ac:dyDescent="0.25">
      <c r="A707" s="31" t="s">
        <v>276</v>
      </c>
      <c r="B707" s="31" t="s">
        <v>278</v>
      </c>
      <c r="C707" s="31" t="s">
        <v>257</v>
      </c>
      <c r="D707" s="31" t="s">
        <v>282</v>
      </c>
      <c r="E707" s="38">
        <v>42193</v>
      </c>
      <c r="F707" s="35">
        <v>9</v>
      </c>
      <c r="G707" s="35">
        <v>4829</v>
      </c>
      <c r="H707" s="46"/>
      <c r="I707" s="47"/>
    </row>
    <row r="708" spans="1:9" x14ac:dyDescent="0.25">
      <c r="A708" s="31" t="s">
        <v>270</v>
      </c>
      <c r="B708" s="31" t="s">
        <v>273</v>
      </c>
      <c r="C708" s="31" t="s">
        <v>257</v>
      </c>
      <c r="D708" s="31" t="s">
        <v>275</v>
      </c>
      <c r="E708" s="38">
        <v>42194</v>
      </c>
      <c r="F708" s="35">
        <v>5</v>
      </c>
      <c r="G708" s="35">
        <v>1524</v>
      </c>
      <c r="H708" s="46"/>
      <c r="I708" s="47"/>
    </row>
    <row r="709" spans="1:9" x14ac:dyDescent="0.25">
      <c r="A709" s="31" t="s">
        <v>270</v>
      </c>
      <c r="B709" s="31" t="s">
        <v>278</v>
      </c>
      <c r="C709" s="31" t="s">
        <v>260</v>
      </c>
      <c r="D709" s="31" t="s">
        <v>267</v>
      </c>
      <c r="E709" s="38">
        <v>42194</v>
      </c>
      <c r="F709" s="35">
        <v>16</v>
      </c>
      <c r="G709" s="35">
        <v>7425</v>
      </c>
      <c r="H709" s="46"/>
      <c r="I709" s="47"/>
    </row>
    <row r="710" spans="1:9" x14ac:dyDescent="0.25">
      <c r="A710" s="31" t="s">
        <v>270</v>
      </c>
      <c r="B710" s="31" t="s">
        <v>262</v>
      </c>
      <c r="C710" s="31" t="s">
        <v>258</v>
      </c>
      <c r="D710" s="31" t="s">
        <v>282</v>
      </c>
      <c r="E710" s="38">
        <v>42195</v>
      </c>
      <c r="F710" s="35">
        <v>3</v>
      </c>
      <c r="G710" s="35">
        <v>748</v>
      </c>
      <c r="H710" s="46"/>
      <c r="I710" s="47"/>
    </row>
    <row r="711" spans="1:9" x14ac:dyDescent="0.25">
      <c r="A711" s="31" t="s">
        <v>272</v>
      </c>
      <c r="B711" s="31" t="s">
        <v>278</v>
      </c>
      <c r="C711" s="31" t="s">
        <v>258</v>
      </c>
      <c r="D711" s="31" t="s">
        <v>275</v>
      </c>
      <c r="E711" s="38">
        <v>42195</v>
      </c>
      <c r="F711" s="35">
        <v>13</v>
      </c>
      <c r="G711" s="35">
        <v>4714</v>
      </c>
      <c r="H711" s="46"/>
      <c r="I711" s="47"/>
    </row>
    <row r="712" spans="1:9" x14ac:dyDescent="0.25">
      <c r="A712" s="31" t="s">
        <v>270</v>
      </c>
      <c r="B712" s="31" t="s">
        <v>271</v>
      </c>
      <c r="C712" s="31" t="s">
        <v>258</v>
      </c>
      <c r="D712" s="31" t="s">
        <v>263</v>
      </c>
      <c r="E712" s="38">
        <v>42196</v>
      </c>
      <c r="F712" s="35">
        <v>4</v>
      </c>
      <c r="G712" s="35">
        <v>1617</v>
      </c>
      <c r="H712" s="46"/>
      <c r="I712" s="47"/>
    </row>
    <row r="713" spans="1:9" x14ac:dyDescent="0.25">
      <c r="A713" s="31" t="s">
        <v>265</v>
      </c>
      <c r="B713" s="31" t="s">
        <v>271</v>
      </c>
      <c r="C713" s="31" t="s">
        <v>259</v>
      </c>
      <c r="D713" s="31" t="s">
        <v>282</v>
      </c>
      <c r="E713" s="38">
        <v>42196</v>
      </c>
      <c r="F713" s="35">
        <v>6</v>
      </c>
      <c r="G713" s="35">
        <v>2607</v>
      </c>
      <c r="H713" s="46"/>
      <c r="I713" s="47"/>
    </row>
    <row r="714" spans="1:9" x14ac:dyDescent="0.25">
      <c r="A714" s="31" t="s">
        <v>265</v>
      </c>
      <c r="B714" s="31" t="s">
        <v>278</v>
      </c>
      <c r="C714" s="31" t="s">
        <v>257</v>
      </c>
      <c r="D714" s="31" t="s">
        <v>275</v>
      </c>
      <c r="E714" s="38">
        <v>42197</v>
      </c>
      <c r="F714" s="35">
        <v>4</v>
      </c>
      <c r="G714" s="35">
        <v>1496</v>
      </c>
      <c r="H714" s="46"/>
      <c r="I714" s="47"/>
    </row>
    <row r="715" spans="1:9" x14ac:dyDescent="0.25">
      <c r="A715" s="31" t="s">
        <v>280</v>
      </c>
      <c r="B715" s="31" t="s">
        <v>273</v>
      </c>
      <c r="C715" s="31" t="s">
        <v>259</v>
      </c>
      <c r="D715" s="31" t="s">
        <v>267</v>
      </c>
      <c r="E715" s="38">
        <v>42201</v>
      </c>
      <c r="F715" s="35">
        <v>3</v>
      </c>
      <c r="G715" s="35">
        <v>1155</v>
      </c>
      <c r="H715" s="46"/>
      <c r="I715" s="47"/>
    </row>
    <row r="716" spans="1:9" x14ac:dyDescent="0.25">
      <c r="A716" s="31" t="s">
        <v>279</v>
      </c>
      <c r="B716" s="31" t="s">
        <v>273</v>
      </c>
      <c r="C716" s="31" t="s">
        <v>260</v>
      </c>
      <c r="D716" s="31" t="s">
        <v>267</v>
      </c>
      <c r="E716" s="38">
        <v>42201</v>
      </c>
      <c r="F716" s="35">
        <v>3</v>
      </c>
      <c r="G716" s="35">
        <v>1029</v>
      </c>
      <c r="H716" s="46"/>
      <c r="I716" s="47"/>
    </row>
    <row r="717" spans="1:9" x14ac:dyDescent="0.25">
      <c r="A717" s="31" t="s">
        <v>281</v>
      </c>
      <c r="B717" s="31" t="s">
        <v>278</v>
      </c>
      <c r="C717" s="31" t="s">
        <v>257</v>
      </c>
      <c r="D717" s="31" t="s">
        <v>263</v>
      </c>
      <c r="E717" s="38">
        <v>42202</v>
      </c>
      <c r="F717" s="35">
        <v>3</v>
      </c>
      <c r="G717" s="35">
        <v>682</v>
      </c>
      <c r="H717" s="46"/>
      <c r="I717" s="47"/>
    </row>
    <row r="718" spans="1:9" x14ac:dyDescent="0.25">
      <c r="A718" s="31" t="s">
        <v>265</v>
      </c>
      <c r="B718" s="31" t="s">
        <v>262</v>
      </c>
      <c r="C718" s="31" t="s">
        <v>259</v>
      </c>
      <c r="D718" s="31" t="s">
        <v>263</v>
      </c>
      <c r="E718" s="38">
        <v>42203</v>
      </c>
      <c r="F718" s="35">
        <v>7</v>
      </c>
      <c r="G718" s="35">
        <v>3124</v>
      </c>
      <c r="H718" s="46"/>
      <c r="I718" s="47"/>
    </row>
    <row r="719" spans="1:9" x14ac:dyDescent="0.25">
      <c r="A719" s="31" t="s">
        <v>265</v>
      </c>
      <c r="B719" s="31" t="s">
        <v>273</v>
      </c>
      <c r="C719" s="31" t="s">
        <v>257</v>
      </c>
      <c r="D719" s="31" t="s">
        <v>269</v>
      </c>
      <c r="E719" s="38">
        <v>42204</v>
      </c>
      <c r="F719" s="35">
        <v>18</v>
      </c>
      <c r="G719" s="35">
        <v>10924</v>
      </c>
      <c r="H719" s="46"/>
      <c r="I719" s="47"/>
    </row>
    <row r="720" spans="1:9" x14ac:dyDescent="0.25">
      <c r="A720" s="31" t="s">
        <v>277</v>
      </c>
      <c r="B720" s="31" t="s">
        <v>271</v>
      </c>
      <c r="C720" s="31" t="s">
        <v>260</v>
      </c>
      <c r="D720" s="31" t="s">
        <v>282</v>
      </c>
      <c r="E720" s="38">
        <v>42206</v>
      </c>
      <c r="F720" s="35">
        <v>15</v>
      </c>
      <c r="G720" s="35">
        <v>9207</v>
      </c>
      <c r="H720" s="46"/>
      <c r="I720" s="47"/>
    </row>
    <row r="721" spans="1:9" x14ac:dyDescent="0.25">
      <c r="A721" s="31" t="s">
        <v>270</v>
      </c>
      <c r="B721" s="31" t="s">
        <v>266</v>
      </c>
      <c r="C721" s="31" t="s">
        <v>259</v>
      </c>
      <c r="D721" s="31" t="s">
        <v>282</v>
      </c>
      <c r="E721" s="38">
        <v>42206</v>
      </c>
      <c r="F721" s="35">
        <v>11</v>
      </c>
      <c r="G721" s="35">
        <v>5610</v>
      </c>
      <c r="H721" s="46"/>
      <c r="I721" s="47"/>
    </row>
    <row r="722" spans="1:9" x14ac:dyDescent="0.25">
      <c r="A722" s="31" t="s">
        <v>277</v>
      </c>
      <c r="B722" s="31" t="s">
        <v>262</v>
      </c>
      <c r="C722" s="31" t="s">
        <v>259</v>
      </c>
      <c r="D722" s="31" t="s">
        <v>267</v>
      </c>
      <c r="E722" s="38">
        <v>42207</v>
      </c>
      <c r="F722" s="35">
        <v>10</v>
      </c>
      <c r="G722" s="35">
        <v>5038</v>
      </c>
      <c r="H722" s="46"/>
      <c r="I722" s="47"/>
    </row>
    <row r="723" spans="1:9" x14ac:dyDescent="0.25">
      <c r="A723" s="31" t="s">
        <v>274</v>
      </c>
      <c r="B723" s="31" t="s">
        <v>278</v>
      </c>
      <c r="C723" s="31" t="s">
        <v>259</v>
      </c>
      <c r="D723" s="31" t="s">
        <v>275</v>
      </c>
      <c r="E723" s="38">
        <v>42207</v>
      </c>
      <c r="F723" s="35">
        <v>11</v>
      </c>
      <c r="G723" s="35">
        <v>3608</v>
      </c>
      <c r="H723" s="46"/>
      <c r="I723" s="47"/>
    </row>
    <row r="724" spans="1:9" x14ac:dyDescent="0.25">
      <c r="A724" s="31" t="s">
        <v>270</v>
      </c>
      <c r="B724" s="31" t="s">
        <v>278</v>
      </c>
      <c r="C724" s="31" t="s">
        <v>257</v>
      </c>
      <c r="D724" s="31" t="s">
        <v>269</v>
      </c>
      <c r="E724" s="38">
        <v>42209</v>
      </c>
      <c r="F724" s="35">
        <v>9</v>
      </c>
      <c r="G724" s="35">
        <v>3858</v>
      </c>
      <c r="H724" s="46"/>
      <c r="I724" s="47"/>
    </row>
    <row r="725" spans="1:9" x14ac:dyDescent="0.25">
      <c r="A725" s="31" t="s">
        <v>261</v>
      </c>
      <c r="B725" s="31" t="s">
        <v>278</v>
      </c>
      <c r="C725" s="31" t="s">
        <v>258</v>
      </c>
      <c r="D725" s="31" t="s">
        <v>263</v>
      </c>
      <c r="E725" s="38">
        <v>42210</v>
      </c>
      <c r="F725" s="35">
        <v>10</v>
      </c>
      <c r="G725" s="35">
        <v>3097</v>
      </c>
      <c r="H725" s="46"/>
      <c r="I725" s="47"/>
    </row>
    <row r="726" spans="1:9" x14ac:dyDescent="0.25">
      <c r="A726" s="31" t="s">
        <v>270</v>
      </c>
      <c r="B726" s="31" t="s">
        <v>266</v>
      </c>
      <c r="C726" s="31" t="s">
        <v>259</v>
      </c>
      <c r="D726" s="31" t="s">
        <v>282</v>
      </c>
      <c r="E726" s="38">
        <v>42211</v>
      </c>
      <c r="F726" s="35">
        <v>8</v>
      </c>
      <c r="G726" s="35">
        <v>4202</v>
      </c>
      <c r="H726" s="46"/>
      <c r="I726" s="47"/>
    </row>
    <row r="727" spans="1:9" x14ac:dyDescent="0.25">
      <c r="A727" s="31" t="s">
        <v>265</v>
      </c>
      <c r="B727" s="31" t="s">
        <v>266</v>
      </c>
      <c r="C727" s="31" t="s">
        <v>257</v>
      </c>
      <c r="D727" s="31" t="s">
        <v>263</v>
      </c>
      <c r="E727" s="38">
        <v>42211</v>
      </c>
      <c r="F727" s="35">
        <v>6</v>
      </c>
      <c r="G727" s="35">
        <v>1881</v>
      </c>
      <c r="H727" s="46"/>
      <c r="I727" s="47"/>
    </row>
    <row r="728" spans="1:9" x14ac:dyDescent="0.25">
      <c r="A728" s="31" t="s">
        <v>265</v>
      </c>
      <c r="B728" s="31" t="s">
        <v>262</v>
      </c>
      <c r="C728" s="31" t="s">
        <v>258</v>
      </c>
      <c r="D728" s="31" t="s">
        <v>282</v>
      </c>
      <c r="E728" s="38">
        <v>42213</v>
      </c>
      <c r="F728" s="35">
        <v>9</v>
      </c>
      <c r="G728" s="35">
        <v>2937</v>
      </c>
      <c r="H728" s="46"/>
      <c r="I728" s="47"/>
    </row>
    <row r="729" spans="1:9" x14ac:dyDescent="0.25">
      <c r="A729" s="31" t="s">
        <v>265</v>
      </c>
      <c r="B729" s="31" t="s">
        <v>271</v>
      </c>
      <c r="C729" s="31" t="s">
        <v>258</v>
      </c>
      <c r="D729" s="31" t="s">
        <v>282</v>
      </c>
      <c r="E729" s="38">
        <v>42214</v>
      </c>
      <c r="F729" s="35">
        <v>11</v>
      </c>
      <c r="G729" s="35">
        <v>5863</v>
      </c>
      <c r="H729" s="46"/>
      <c r="I729" s="47"/>
    </row>
    <row r="730" spans="1:9" x14ac:dyDescent="0.25">
      <c r="A730" s="31" t="s">
        <v>280</v>
      </c>
      <c r="B730" s="31" t="s">
        <v>273</v>
      </c>
      <c r="C730" s="31" t="s">
        <v>257</v>
      </c>
      <c r="D730" s="31" t="s">
        <v>263</v>
      </c>
      <c r="E730" s="38">
        <v>42214</v>
      </c>
      <c r="F730" s="35">
        <v>6</v>
      </c>
      <c r="G730" s="35">
        <v>2063</v>
      </c>
      <c r="H730" s="46"/>
      <c r="I730" s="47"/>
    </row>
    <row r="731" spans="1:9" x14ac:dyDescent="0.25">
      <c r="A731" s="31" t="s">
        <v>279</v>
      </c>
      <c r="B731" s="31" t="s">
        <v>278</v>
      </c>
      <c r="C731" s="31" t="s">
        <v>260</v>
      </c>
      <c r="D731" s="31" t="s">
        <v>282</v>
      </c>
      <c r="E731" s="38">
        <v>42216</v>
      </c>
      <c r="F731" s="35">
        <v>4</v>
      </c>
      <c r="G731" s="35">
        <v>1084</v>
      </c>
      <c r="H731" s="46"/>
      <c r="I731" s="47"/>
    </row>
    <row r="732" spans="1:9" x14ac:dyDescent="0.25">
      <c r="A732" s="31" t="s">
        <v>264</v>
      </c>
      <c r="B732" s="31" t="s">
        <v>262</v>
      </c>
      <c r="C732" s="31" t="s">
        <v>257</v>
      </c>
      <c r="D732" s="31" t="s">
        <v>267</v>
      </c>
      <c r="E732" s="38">
        <v>42216</v>
      </c>
      <c r="F732" s="35">
        <v>11</v>
      </c>
      <c r="G732" s="35">
        <v>4499</v>
      </c>
      <c r="H732" s="46"/>
      <c r="I732" s="47"/>
    </row>
    <row r="733" spans="1:9" x14ac:dyDescent="0.25">
      <c r="A733" s="31" t="s">
        <v>270</v>
      </c>
      <c r="B733" s="31" t="s">
        <v>262</v>
      </c>
      <c r="C733" s="31" t="s">
        <v>260</v>
      </c>
      <c r="D733" s="31" t="s">
        <v>269</v>
      </c>
      <c r="E733" s="38">
        <v>42217</v>
      </c>
      <c r="F733" s="35">
        <v>17</v>
      </c>
      <c r="G733" s="35">
        <v>9328</v>
      </c>
      <c r="H733" s="46"/>
      <c r="I733" s="47"/>
    </row>
    <row r="734" spans="1:9" x14ac:dyDescent="0.25">
      <c r="A734" s="31" t="s">
        <v>276</v>
      </c>
      <c r="B734" s="31" t="s">
        <v>278</v>
      </c>
      <c r="C734" s="31" t="s">
        <v>259</v>
      </c>
      <c r="D734" s="31" t="s">
        <v>267</v>
      </c>
      <c r="E734" s="38">
        <v>42218</v>
      </c>
      <c r="F734" s="35">
        <v>9</v>
      </c>
      <c r="G734" s="35">
        <v>3751</v>
      </c>
      <c r="H734" s="46"/>
      <c r="I734" s="47"/>
    </row>
    <row r="735" spans="1:9" x14ac:dyDescent="0.25">
      <c r="A735" s="31" t="s">
        <v>277</v>
      </c>
      <c r="B735" s="31" t="s">
        <v>271</v>
      </c>
      <c r="C735" s="31" t="s">
        <v>257</v>
      </c>
      <c r="D735" s="31" t="s">
        <v>282</v>
      </c>
      <c r="E735" s="38">
        <v>42218</v>
      </c>
      <c r="F735" s="35">
        <v>6</v>
      </c>
      <c r="G735" s="35">
        <v>2393</v>
      </c>
      <c r="H735" s="46"/>
      <c r="I735" s="47"/>
    </row>
    <row r="736" spans="1:9" x14ac:dyDescent="0.25">
      <c r="A736" s="31" t="s">
        <v>261</v>
      </c>
      <c r="B736" s="31" t="s">
        <v>278</v>
      </c>
      <c r="C736" s="31" t="s">
        <v>259</v>
      </c>
      <c r="D736" s="31" t="s">
        <v>263</v>
      </c>
      <c r="E736" s="38">
        <v>42221</v>
      </c>
      <c r="F736" s="35">
        <v>2</v>
      </c>
      <c r="G736" s="35">
        <v>512</v>
      </c>
      <c r="H736" s="46"/>
      <c r="I736" s="47"/>
    </row>
    <row r="737" spans="1:9" x14ac:dyDescent="0.25">
      <c r="A737" s="31" t="s">
        <v>268</v>
      </c>
      <c r="B737" s="31" t="s">
        <v>271</v>
      </c>
      <c r="C737" s="31" t="s">
        <v>260</v>
      </c>
      <c r="D737" s="31" t="s">
        <v>267</v>
      </c>
      <c r="E737" s="38">
        <v>42221</v>
      </c>
      <c r="F737" s="35">
        <v>14</v>
      </c>
      <c r="G737" s="35">
        <v>8536</v>
      </c>
      <c r="H737" s="46"/>
      <c r="I737" s="47"/>
    </row>
    <row r="738" spans="1:9" x14ac:dyDescent="0.25">
      <c r="A738" s="31" t="s">
        <v>280</v>
      </c>
      <c r="B738" s="31" t="s">
        <v>262</v>
      </c>
      <c r="C738" s="31" t="s">
        <v>260</v>
      </c>
      <c r="D738" s="31" t="s">
        <v>267</v>
      </c>
      <c r="E738" s="38">
        <v>42221</v>
      </c>
      <c r="F738" s="35">
        <v>12</v>
      </c>
      <c r="G738" s="35">
        <v>4153</v>
      </c>
      <c r="H738" s="46"/>
      <c r="I738" s="47"/>
    </row>
    <row r="739" spans="1:9" x14ac:dyDescent="0.25">
      <c r="A739" s="31" t="s">
        <v>265</v>
      </c>
      <c r="B739" s="31" t="s">
        <v>266</v>
      </c>
      <c r="C739" s="31" t="s">
        <v>260</v>
      </c>
      <c r="D739" s="31" t="s">
        <v>282</v>
      </c>
      <c r="E739" s="38">
        <v>42221</v>
      </c>
      <c r="F739" s="35">
        <v>13</v>
      </c>
      <c r="G739" s="35">
        <v>5071</v>
      </c>
      <c r="H739" s="46"/>
      <c r="I739" s="47"/>
    </row>
    <row r="740" spans="1:9" x14ac:dyDescent="0.25">
      <c r="A740" s="31" t="s">
        <v>265</v>
      </c>
      <c r="B740" s="31" t="s">
        <v>278</v>
      </c>
      <c r="C740" s="31" t="s">
        <v>258</v>
      </c>
      <c r="D740" s="31" t="s">
        <v>267</v>
      </c>
      <c r="E740" s="38">
        <v>42221</v>
      </c>
      <c r="F740" s="35">
        <v>14</v>
      </c>
      <c r="G740" s="35">
        <v>5264</v>
      </c>
      <c r="H740" s="46"/>
      <c r="I740" s="47"/>
    </row>
    <row r="741" spans="1:9" x14ac:dyDescent="0.25">
      <c r="A741" s="31" t="s">
        <v>276</v>
      </c>
      <c r="B741" s="31" t="s">
        <v>273</v>
      </c>
      <c r="C741" s="31" t="s">
        <v>259</v>
      </c>
      <c r="D741" s="31" t="s">
        <v>269</v>
      </c>
      <c r="E741" s="38">
        <v>42222</v>
      </c>
      <c r="F741" s="35">
        <v>9</v>
      </c>
      <c r="G741" s="35">
        <v>3974</v>
      </c>
      <c r="H741" s="46"/>
      <c r="I741" s="47"/>
    </row>
    <row r="742" spans="1:9" x14ac:dyDescent="0.25">
      <c r="A742" s="31" t="s">
        <v>264</v>
      </c>
      <c r="B742" s="31" t="s">
        <v>262</v>
      </c>
      <c r="C742" s="31" t="s">
        <v>257</v>
      </c>
      <c r="D742" s="31" t="s">
        <v>263</v>
      </c>
      <c r="E742" s="38">
        <v>42222</v>
      </c>
      <c r="F742" s="35">
        <v>8</v>
      </c>
      <c r="G742" s="35">
        <v>2948</v>
      </c>
      <c r="H742" s="46"/>
      <c r="I742" s="47"/>
    </row>
    <row r="743" spans="1:9" x14ac:dyDescent="0.25">
      <c r="A743" s="31" t="s">
        <v>274</v>
      </c>
      <c r="B743" s="31" t="s">
        <v>273</v>
      </c>
      <c r="C743" s="31" t="s">
        <v>257</v>
      </c>
      <c r="D743" s="31" t="s">
        <v>263</v>
      </c>
      <c r="E743" s="38">
        <v>42224</v>
      </c>
      <c r="F743" s="35">
        <v>6</v>
      </c>
      <c r="G743" s="35">
        <v>3042</v>
      </c>
      <c r="H743" s="46"/>
      <c r="I743" s="47"/>
    </row>
    <row r="744" spans="1:9" x14ac:dyDescent="0.25">
      <c r="A744" s="31" t="s">
        <v>274</v>
      </c>
      <c r="B744" s="31" t="s">
        <v>266</v>
      </c>
      <c r="C744" s="31" t="s">
        <v>258</v>
      </c>
      <c r="D744" s="31" t="s">
        <v>269</v>
      </c>
      <c r="E744" s="38">
        <v>42224</v>
      </c>
      <c r="F744" s="35">
        <v>17</v>
      </c>
      <c r="G744" s="35">
        <v>6104</v>
      </c>
      <c r="H744" s="46"/>
      <c r="I744" s="47"/>
    </row>
    <row r="745" spans="1:9" x14ac:dyDescent="0.25">
      <c r="A745" s="31" t="s">
        <v>265</v>
      </c>
      <c r="B745" s="31" t="s">
        <v>278</v>
      </c>
      <c r="C745" s="31" t="s">
        <v>260</v>
      </c>
      <c r="D745" s="31" t="s">
        <v>263</v>
      </c>
      <c r="E745" s="38">
        <v>42224</v>
      </c>
      <c r="F745" s="35">
        <v>9</v>
      </c>
      <c r="G745" s="35">
        <v>3267</v>
      </c>
      <c r="H745" s="46"/>
      <c r="I745" s="47"/>
    </row>
    <row r="746" spans="1:9" x14ac:dyDescent="0.25">
      <c r="A746" s="31" t="s">
        <v>264</v>
      </c>
      <c r="B746" s="31" t="s">
        <v>262</v>
      </c>
      <c r="C746" s="31" t="s">
        <v>259</v>
      </c>
      <c r="D746" s="31" t="s">
        <v>282</v>
      </c>
      <c r="E746" s="38">
        <v>42225</v>
      </c>
      <c r="F746" s="35">
        <v>4</v>
      </c>
      <c r="G746" s="35">
        <v>1859</v>
      </c>
      <c r="H746" s="46"/>
      <c r="I746" s="47"/>
    </row>
    <row r="747" spans="1:9" x14ac:dyDescent="0.25">
      <c r="A747" s="31" t="s">
        <v>265</v>
      </c>
      <c r="B747" s="31" t="s">
        <v>271</v>
      </c>
      <c r="C747" s="31" t="s">
        <v>260</v>
      </c>
      <c r="D747" s="31" t="s">
        <v>275</v>
      </c>
      <c r="E747" s="38">
        <v>42225</v>
      </c>
      <c r="F747" s="35">
        <v>9</v>
      </c>
      <c r="G747" s="35">
        <v>3020</v>
      </c>
      <c r="H747" s="46"/>
      <c r="I747" s="47"/>
    </row>
    <row r="748" spans="1:9" x14ac:dyDescent="0.25">
      <c r="A748" s="31" t="s">
        <v>280</v>
      </c>
      <c r="B748" s="31" t="s">
        <v>271</v>
      </c>
      <c r="C748" s="31" t="s">
        <v>260</v>
      </c>
      <c r="D748" s="31" t="s">
        <v>263</v>
      </c>
      <c r="E748" s="38">
        <v>42225</v>
      </c>
      <c r="F748" s="35">
        <v>16</v>
      </c>
      <c r="G748" s="35">
        <v>7145</v>
      </c>
      <c r="H748" s="46"/>
      <c r="I748" s="47"/>
    </row>
    <row r="749" spans="1:9" x14ac:dyDescent="0.25">
      <c r="A749" s="31" t="s">
        <v>270</v>
      </c>
      <c r="B749" s="31" t="s">
        <v>271</v>
      </c>
      <c r="C749" s="31" t="s">
        <v>259</v>
      </c>
      <c r="D749" s="31" t="s">
        <v>267</v>
      </c>
      <c r="E749" s="38">
        <v>42225</v>
      </c>
      <c r="F749" s="35">
        <v>10</v>
      </c>
      <c r="G749" s="35">
        <v>5324</v>
      </c>
      <c r="H749" s="46"/>
      <c r="I749" s="47"/>
    </row>
    <row r="750" spans="1:9" x14ac:dyDescent="0.25">
      <c r="A750" s="31" t="s">
        <v>264</v>
      </c>
      <c r="B750" s="31" t="s">
        <v>271</v>
      </c>
      <c r="C750" s="31" t="s">
        <v>260</v>
      </c>
      <c r="D750" s="31" t="s">
        <v>263</v>
      </c>
      <c r="E750" s="38">
        <v>42228</v>
      </c>
      <c r="F750" s="35">
        <v>2</v>
      </c>
      <c r="G750" s="35">
        <v>369</v>
      </c>
      <c r="H750" s="46"/>
      <c r="I750" s="47"/>
    </row>
    <row r="751" spans="1:9" x14ac:dyDescent="0.25">
      <c r="A751" s="31" t="s">
        <v>268</v>
      </c>
      <c r="B751" s="31" t="s">
        <v>266</v>
      </c>
      <c r="C751" s="31" t="s">
        <v>258</v>
      </c>
      <c r="D751" s="31" t="s">
        <v>282</v>
      </c>
      <c r="E751" s="38">
        <v>42228</v>
      </c>
      <c r="F751" s="35">
        <v>14</v>
      </c>
      <c r="G751" s="35">
        <v>5434</v>
      </c>
      <c r="H751" s="46"/>
      <c r="I751" s="47"/>
    </row>
    <row r="752" spans="1:9" x14ac:dyDescent="0.25">
      <c r="A752" s="31" t="s">
        <v>265</v>
      </c>
      <c r="B752" s="31" t="s">
        <v>278</v>
      </c>
      <c r="C752" s="31" t="s">
        <v>260</v>
      </c>
      <c r="D752" s="31" t="s">
        <v>282</v>
      </c>
      <c r="E752" s="38">
        <v>42228</v>
      </c>
      <c r="F752" s="35">
        <v>8</v>
      </c>
      <c r="G752" s="35">
        <v>2844</v>
      </c>
      <c r="H752" s="46"/>
      <c r="I752" s="47"/>
    </row>
    <row r="753" spans="1:9" x14ac:dyDescent="0.25">
      <c r="A753" s="31" t="s">
        <v>265</v>
      </c>
      <c r="B753" s="31" t="s">
        <v>273</v>
      </c>
      <c r="C753" s="31" t="s">
        <v>258</v>
      </c>
      <c r="D753" s="31" t="s">
        <v>282</v>
      </c>
      <c r="E753" s="38">
        <v>42229</v>
      </c>
      <c r="F753" s="35">
        <v>3</v>
      </c>
      <c r="G753" s="35">
        <v>825</v>
      </c>
      <c r="H753" s="46"/>
      <c r="I753" s="47"/>
    </row>
    <row r="754" spans="1:9" x14ac:dyDescent="0.25">
      <c r="A754" s="31" t="s">
        <v>265</v>
      </c>
      <c r="B754" s="31" t="s">
        <v>278</v>
      </c>
      <c r="C754" s="31" t="s">
        <v>260</v>
      </c>
      <c r="D754" s="31" t="s">
        <v>267</v>
      </c>
      <c r="E754" s="38">
        <v>42229</v>
      </c>
      <c r="F754" s="35">
        <v>14</v>
      </c>
      <c r="G754" s="35">
        <v>6523</v>
      </c>
      <c r="H754" s="46"/>
      <c r="I754" s="47"/>
    </row>
    <row r="755" spans="1:9" x14ac:dyDescent="0.25">
      <c r="A755" s="31" t="s">
        <v>279</v>
      </c>
      <c r="B755" s="31" t="s">
        <v>262</v>
      </c>
      <c r="C755" s="31" t="s">
        <v>260</v>
      </c>
      <c r="D755" s="31" t="s">
        <v>275</v>
      </c>
      <c r="E755" s="38">
        <v>42231</v>
      </c>
      <c r="F755" s="35">
        <v>2</v>
      </c>
      <c r="G755" s="35">
        <v>583</v>
      </c>
      <c r="H755" s="46"/>
      <c r="I755" s="47"/>
    </row>
    <row r="756" spans="1:9" x14ac:dyDescent="0.25">
      <c r="A756" s="31" t="s">
        <v>264</v>
      </c>
      <c r="B756" s="31" t="s">
        <v>271</v>
      </c>
      <c r="C756" s="31" t="s">
        <v>259</v>
      </c>
      <c r="D756" s="31" t="s">
        <v>282</v>
      </c>
      <c r="E756" s="38">
        <v>42232</v>
      </c>
      <c r="F756" s="35">
        <v>2</v>
      </c>
      <c r="G756" s="35">
        <v>506</v>
      </c>
      <c r="H756" s="46"/>
      <c r="I756" s="47"/>
    </row>
    <row r="757" spans="1:9" x14ac:dyDescent="0.25">
      <c r="A757" s="31" t="s">
        <v>281</v>
      </c>
      <c r="B757" s="31" t="s">
        <v>278</v>
      </c>
      <c r="C757" s="31" t="s">
        <v>260</v>
      </c>
      <c r="D757" s="31" t="s">
        <v>263</v>
      </c>
      <c r="E757" s="38">
        <v>42234</v>
      </c>
      <c r="F757" s="35">
        <v>9</v>
      </c>
      <c r="G757" s="35">
        <v>4109</v>
      </c>
      <c r="H757" s="46"/>
      <c r="I757" s="47"/>
    </row>
    <row r="758" spans="1:9" x14ac:dyDescent="0.25">
      <c r="A758" s="31" t="s">
        <v>265</v>
      </c>
      <c r="B758" s="31" t="s">
        <v>266</v>
      </c>
      <c r="C758" s="31" t="s">
        <v>258</v>
      </c>
      <c r="D758" s="31" t="s">
        <v>275</v>
      </c>
      <c r="E758" s="38">
        <v>42235</v>
      </c>
      <c r="F758" s="35">
        <v>11</v>
      </c>
      <c r="G758" s="35">
        <v>6281</v>
      </c>
      <c r="H758" s="46"/>
      <c r="I758" s="47"/>
    </row>
    <row r="759" spans="1:9" x14ac:dyDescent="0.25">
      <c r="A759" s="31" t="s">
        <v>265</v>
      </c>
      <c r="B759" s="31" t="s">
        <v>278</v>
      </c>
      <c r="C759" s="31" t="s">
        <v>259</v>
      </c>
      <c r="D759" s="31" t="s">
        <v>263</v>
      </c>
      <c r="E759" s="38">
        <v>42236</v>
      </c>
      <c r="F759" s="35">
        <v>16</v>
      </c>
      <c r="G759" s="35">
        <v>8234</v>
      </c>
      <c r="H759" s="46"/>
      <c r="I759" s="47"/>
    </row>
    <row r="760" spans="1:9" x14ac:dyDescent="0.25">
      <c r="A760" s="31" t="s">
        <v>281</v>
      </c>
      <c r="B760" s="31" t="s">
        <v>273</v>
      </c>
      <c r="C760" s="31" t="s">
        <v>259</v>
      </c>
      <c r="D760" s="31" t="s">
        <v>275</v>
      </c>
      <c r="E760" s="38">
        <v>42237</v>
      </c>
      <c r="F760" s="35">
        <v>14</v>
      </c>
      <c r="G760" s="35">
        <v>8294</v>
      </c>
      <c r="H760" s="46"/>
      <c r="I760" s="47"/>
    </row>
    <row r="761" spans="1:9" x14ac:dyDescent="0.25">
      <c r="A761" s="31" t="s">
        <v>276</v>
      </c>
      <c r="B761" s="31" t="s">
        <v>273</v>
      </c>
      <c r="C761" s="31" t="s">
        <v>257</v>
      </c>
      <c r="D761" s="31" t="s">
        <v>263</v>
      </c>
      <c r="E761" s="38">
        <v>42237</v>
      </c>
      <c r="F761" s="35">
        <v>13</v>
      </c>
      <c r="G761" s="35">
        <v>7392</v>
      </c>
      <c r="H761" s="46"/>
      <c r="I761" s="47"/>
    </row>
    <row r="762" spans="1:9" x14ac:dyDescent="0.25">
      <c r="A762" s="31" t="s">
        <v>265</v>
      </c>
      <c r="B762" s="31" t="s">
        <v>271</v>
      </c>
      <c r="C762" s="31" t="s">
        <v>257</v>
      </c>
      <c r="D762" s="31" t="s">
        <v>267</v>
      </c>
      <c r="E762" s="38">
        <v>42238</v>
      </c>
      <c r="F762" s="35">
        <v>6</v>
      </c>
      <c r="G762" s="35">
        <v>1799</v>
      </c>
      <c r="H762" s="46"/>
      <c r="I762" s="47"/>
    </row>
    <row r="763" spans="1:9" x14ac:dyDescent="0.25">
      <c r="A763" s="31" t="s">
        <v>279</v>
      </c>
      <c r="B763" s="31" t="s">
        <v>262</v>
      </c>
      <c r="C763" s="31" t="s">
        <v>259</v>
      </c>
      <c r="D763" s="31" t="s">
        <v>263</v>
      </c>
      <c r="E763" s="38">
        <v>42239</v>
      </c>
      <c r="F763" s="35">
        <v>8</v>
      </c>
      <c r="G763" s="35">
        <v>3520</v>
      </c>
      <c r="H763" s="46"/>
      <c r="I763" s="47"/>
    </row>
    <row r="764" spans="1:9" x14ac:dyDescent="0.25">
      <c r="A764" s="31" t="s">
        <v>261</v>
      </c>
      <c r="B764" s="31" t="s">
        <v>271</v>
      </c>
      <c r="C764" s="31" t="s">
        <v>260</v>
      </c>
      <c r="D764" s="31" t="s">
        <v>282</v>
      </c>
      <c r="E764" s="38">
        <v>42242</v>
      </c>
      <c r="F764" s="35">
        <v>6</v>
      </c>
      <c r="G764" s="35">
        <v>2277</v>
      </c>
      <c r="H764" s="46"/>
      <c r="I764" s="47"/>
    </row>
    <row r="765" spans="1:9" x14ac:dyDescent="0.25">
      <c r="A765" s="31" t="s">
        <v>279</v>
      </c>
      <c r="B765" s="31" t="s">
        <v>271</v>
      </c>
      <c r="C765" s="31" t="s">
        <v>260</v>
      </c>
      <c r="D765" s="31" t="s">
        <v>282</v>
      </c>
      <c r="E765" s="38">
        <v>42243</v>
      </c>
      <c r="F765" s="35">
        <v>11</v>
      </c>
      <c r="G765" s="35">
        <v>5203</v>
      </c>
      <c r="H765" s="46"/>
      <c r="I765" s="47"/>
    </row>
    <row r="766" spans="1:9" x14ac:dyDescent="0.25">
      <c r="A766" s="31" t="s">
        <v>276</v>
      </c>
      <c r="B766" s="31" t="s">
        <v>278</v>
      </c>
      <c r="C766" s="31" t="s">
        <v>260</v>
      </c>
      <c r="D766" s="31" t="s">
        <v>282</v>
      </c>
      <c r="E766" s="38">
        <v>42244</v>
      </c>
      <c r="F766" s="35">
        <v>8</v>
      </c>
      <c r="G766" s="35">
        <v>2574</v>
      </c>
      <c r="H766" s="46"/>
      <c r="I766" s="47"/>
    </row>
    <row r="767" spans="1:9" x14ac:dyDescent="0.25">
      <c r="A767" s="31" t="s">
        <v>265</v>
      </c>
      <c r="B767" s="31" t="s">
        <v>266</v>
      </c>
      <c r="C767" s="31" t="s">
        <v>259</v>
      </c>
      <c r="D767" s="31" t="s">
        <v>267</v>
      </c>
      <c r="E767" s="38">
        <v>42245</v>
      </c>
      <c r="F767" s="35">
        <v>14</v>
      </c>
      <c r="G767" s="35">
        <v>5775</v>
      </c>
      <c r="H767" s="46"/>
      <c r="I767" s="47"/>
    </row>
    <row r="768" spans="1:9" x14ac:dyDescent="0.25">
      <c r="A768" s="31" t="s">
        <v>264</v>
      </c>
      <c r="B768" s="31" t="s">
        <v>273</v>
      </c>
      <c r="C768" s="31" t="s">
        <v>258</v>
      </c>
      <c r="D768" s="31" t="s">
        <v>275</v>
      </c>
      <c r="E768" s="38">
        <v>42246</v>
      </c>
      <c r="F768" s="35">
        <v>4</v>
      </c>
      <c r="G768" s="35">
        <v>1166</v>
      </c>
      <c r="H768" s="46"/>
      <c r="I768" s="47"/>
    </row>
    <row r="769" spans="1:9" x14ac:dyDescent="0.25">
      <c r="A769" s="31" t="s">
        <v>264</v>
      </c>
      <c r="B769" s="31" t="s">
        <v>262</v>
      </c>
      <c r="C769" s="31" t="s">
        <v>258</v>
      </c>
      <c r="D769" s="31" t="s">
        <v>263</v>
      </c>
      <c r="E769" s="38">
        <v>42246</v>
      </c>
      <c r="F769" s="35">
        <v>8</v>
      </c>
      <c r="G769" s="35">
        <v>2981</v>
      </c>
      <c r="H769" s="46"/>
      <c r="I769" s="47"/>
    </row>
    <row r="770" spans="1:9" x14ac:dyDescent="0.25">
      <c r="A770" s="31" t="s">
        <v>274</v>
      </c>
      <c r="B770" s="31" t="s">
        <v>273</v>
      </c>
      <c r="C770" s="31" t="s">
        <v>257</v>
      </c>
      <c r="D770" s="31" t="s">
        <v>275</v>
      </c>
      <c r="E770" s="38">
        <v>42249</v>
      </c>
      <c r="F770" s="35">
        <v>7</v>
      </c>
      <c r="G770" s="35">
        <v>3806</v>
      </c>
      <c r="H770" s="46"/>
      <c r="I770" s="47"/>
    </row>
    <row r="771" spans="1:9" x14ac:dyDescent="0.25">
      <c r="A771" s="31" t="s">
        <v>281</v>
      </c>
      <c r="B771" s="31" t="s">
        <v>278</v>
      </c>
      <c r="C771" s="31" t="s">
        <v>258</v>
      </c>
      <c r="D771" s="31" t="s">
        <v>267</v>
      </c>
      <c r="E771" s="38">
        <v>42249</v>
      </c>
      <c r="F771" s="35">
        <v>3</v>
      </c>
      <c r="G771" s="35">
        <v>946</v>
      </c>
      <c r="H771" s="46"/>
      <c r="I771" s="47"/>
    </row>
    <row r="772" spans="1:9" x14ac:dyDescent="0.25">
      <c r="A772" s="31" t="s">
        <v>280</v>
      </c>
      <c r="B772" s="31" t="s">
        <v>262</v>
      </c>
      <c r="C772" s="31" t="s">
        <v>258</v>
      </c>
      <c r="D772" s="31" t="s">
        <v>267</v>
      </c>
      <c r="E772" s="38">
        <v>42249</v>
      </c>
      <c r="F772" s="35">
        <v>10</v>
      </c>
      <c r="G772" s="35">
        <v>4395</v>
      </c>
      <c r="H772" s="46"/>
      <c r="I772" s="47"/>
    </row>
    <row r="773" spans="1:9" x14ac:dyDescent="0.25">
      <c r="A773" s="31" t="s">
        <v>261</v>
      </c>
      <c r="B773" s="31" t="s">
        <v>271</v>
      </c>
      <c r="C773" s="31" t="s">
        <v>259</v>
      </c>
      <c r="D773" s="31" t="s">
        <v>263</v>
      </c>
      <c r="E773" s="38">
        <v>42249</v>
      </c>
      <c r="F773" s="35">
        <v>9</v>
      </c>
      <c r="G773" s="35">
        <v>5005</v>
      </c>
      <c r="H773" s="46"/>
      <c r="I773" s="47"/>
    </row>
    <row r="774" spans="1:9" x14ac:dyDescent="0.25">
      <c r="A774" s="31" t="s">
        <v>261</v>
      </c>
      <c r="B774" s="31" t="s">
        <v>273</v>
      </c>
      <c r="C774" s="31" t="s">
        <v>257</v>
      </c>
      <c r="D774" s="31" t="s">
        <v>267</v>
      </c>
      <c r="E774" s="38">
        <v>42249</v>
      </c>
      <c r="F774" s="35">
        <v>2</v>
      </c>
      <c r="G774" s="35">
        <v>418</v>
      </c>
      <c r="H774" s="46"/>
      <c r="I774" s="47"/>
    </row>
    <row r="775" spans="1:9" x14ac:dyDescent="0.25">
      <c r="A775" s="31" t="s">
        <v>270</v>
      </c>
      <c r="B775" s="31" t="s">
        <v>273</v>
      </c>
      <c r="C775" s="31" t="s">
        <v>258</v>
      </c>
      <c r="D775" s="31" t="s">
        <v>275</v>
      </c>
      <c r="E775" s="38">
        <v>42249</v>
      </c>
      <c r="F775" s="35">
        <v>16</v>
      </c>
      <c r="G775" s="35">
        <v>9273</v>
      </c>
      <c r="H775" s="46"/>
      <c r="I775" s="47"/>
    </row>
    <row r="776" spans="1:9" x14ac:dyDescent="0.25">
      <c r="A776" s="31" t="s">
        <v>279</v>
      </c>
      <c r="B776" s="31" t="s">
        <v>271</v>
      </c>
      <c r="C776" s="31" t="s">
        <v>259</v>
      </c>
      <c r="D776" s="31" t="s">
        <v>267</v>
      </c>
      <c r="E776" s="38">
        <v>42249</v>
      </c>
      <c r="F776" s="35">
        <v>15</v>
      </c>
      <c r="G776" s="35">
        <v>5742</v>
      </c>
      <c r="H776" s="46"/>
      <c r="I776" s="47"/>
    </row>
    <row r="777" spans="1:9" x14ac:dyDescent="0.25">
      <c r="A777" s="31" t="s">
        <v>265</v>
      </c>
      <c r="B777" s="31" t="s">
        <v>271</v>
      </c>
      <c r="C777" s="31" t="s">
        <v>259</v>
      </c>
      <c r="D777" s="31" t="s">
        <v>263</v>
      </c>
      <c r="E777" s="38">
        <v>42255</v>
      </c>
      <c r="F777" s="35">
        <v>14</v>
      </c>
      <c r="G777" s="35">
        <v>7381</v>
      </c>
      <c r="H777" s="46"/>
      <c r="I777" s="47"/>
    </row>
    <row r="778" spans="1:9" x14ac:dyDescent="0.25">
      <c r="A778" s="31" t="s">
        <v>274</v>
      </c>
      <c r="B778" s="31" t="s">
        <v>278</v>
      </c>
      <c r="C778" s="31" t="s">
        <v>260</v>
      </c>
      <c r="D778" s="31" t="s">
        <v>263</v>
      </c>
      <c r="E778" s="38">
        <v>42255</v>
      </c>
      <c r="F778" s="35">
        <v>16</v>
      </c>
      <c r="G778" s="35">
        <v>6534</v>
      </c>
      <c r="H778" s="46"/>
      <c r="I778" s="47"/>
    </row>
    <row r="779" spans="1:9" x14ac:dyDescent="0.25">
      <c r="A779" s="31" t="s">
        <v>274</v>
      </c>
      <c r="B779" s="31" t="s">
        <v>278</v>
      </c>
      <c r="C779" s="31" t="s">
        <v>260</v>
      </c>
      <c r="D779" s="31" t="s">
        <v>267</v>
      </c>
      <c r="E779" s="38">
        <v>42255</v>
      </c>
      <c r="F779" s="35">
        <v>8</v>
      </c>
      <c r="G779" s="35">
        <v>3278</v>
      </c>
      <c r="H779" s="46"/>
      <c r="I779" s="47"/>
    </row>
    <row r="780" spans="1:9" x14ac:dyDescent="0.25">
      <c r="A780" s="31" t="s">
        <v>277</v>
      </c>
      <c r="B780" s="31" t="s">
        <v>278</v>
      </c>
      <c r="C780" s="31" t="s">
        <v>258</v>
      </c>
      <c r="D780" s="31" t="s">
        <v>282</v>
      </c>
      <c r="E780" s="38">
        <v>42257</v>
      </c>
      <c r="F780" s="35">
        <v>2</v>
      </c>
      <c r="G780" s="35">
        <v>336</v>
      </c>
      <c r="H780" s="46"/>
      <c r="I780" s="47"/>
    </row>
    <row r="781" spans="1:9" x14ac:dyDescent="0.25">
      <c r="A781" s="31" t="s">
        <v>276</v>
      </c>
      <c r="B781" s="31" t="s">
        <v>273</v>
      </c>
      <c r="C781" s="31" t="s">
        <v>257</v>
      </c>
      <c r="D781" s="31" t="s">
        <v>269</v>
      </c>
      <c r="E781" s="38">
        <v>42258</v>
      </c>
      <c r="F781" s="35">
        <v>21</v>
      </c>
      <c r="G781" s="35">
        <v>9020</v>
      </c>
      <c r="H781" s="46"/>
      <c r="I781" s="47"/>
    </row>
    <row r="782" spans="1:9" x14ac:dyDescent="0.25">
      <c r="A782" s="31" t="s">
        <v>265</v>
      </c>
      <c r="B782" s="31" t="s">
        <v>266</v>
      </c>
      <c r="C782" s="31" t="s">
        <v>260</v>
      </c>
      <c r="D782" s="31" t="s">
        <v>263</v>
      </c>
      <c r="E782" s="38">
        <v>42258</v>
      </c>
      <c r="F782" s="35">
        <v>10</v>
      </c>
      <c r="G782" s="35">
        <v>5126</v>
      </c>
      <c r="H782" s="46"/>
      <c r="I782" s="47"/>
    </row>
    <row r="783" spans="1:9" x14ac:dyDescent="0.25">
      <c r="A783" s="31" t="s">
        <v>280</v>
      </c>
      <c r="B783" s="31" t="s">
        <v>271</v>
      </c>
      <c r="C783" s="31" t="s">
        <v>257</v>
      </c>
      <c r="D783" s="31" t="s">
        <v>282</v>
      </c>
      <c r="E783" s="38">
        <v>42258</v>
      </c>
      <c r="F783" s="35">
        <v>14</v>
      </c>
      <c r="G783" s="35">
        <v>5165</v>
      </c>
      <c r="H783" s="46"/>
      <c r="I783" s="47"/>
    </row>
    <row r="784" spans="1:9" x14ac:dyDescent="0.25">
      <c r="A784" s="31" t="s">
        <v>265</v>
      </c>
      <c r="B784" s="31" t="s">
        <v>273</v>
      </c>
      <c r="C784" s="31" t="s">
        <v>258</v>
      </c>
      <c r="D784" s="31" t="s">
        <v>263</v>
      </c>
      <c r="E784" s="38">
        <v>42263</v>
      </c>
      <c r="F784" s="35">
        <v>7</v>
      </c>
      <c r="G784" s="35">
        <v>2442</v>
      </c>
      <c r="H784" s="46"/>
      <c r="I784" s="47"/>
    </row>
    <row r="785" spans="1:9" x14ac:dyDescent="0.25">
      <c r="A785" s="31" t="s">
        <v>279</v>
      </c>
      <c r="B785" s="31" t="s">
        <v>273</v>
      </c>
      <c r="C785" s="31" t="s">
        <v>259</v>
      </c>
      <c r="D785" s="31" t="s">
        <v>269</v>
      </c>
      <c r="E785" s="38">
        <v>42263</v>
      </c>
      <c r="F785" s="35">
        <v>21</v>
      </c>
      <c r="G785" s="35">
        <v>7392</v>
      </c>
      <c r="H785" s="46"/>
      <c r="I785" s="47"/>
    </row>
    <row r="786" spans="1:9" x14ac:dyDescent="0.25">
      <c r="A786" s="31" t="s">
        <v>277</v>
      </c>
      <c r="B786" s="31" t="s">
        <v>271</v>
      </c>
      <c r="C786" s="31" t="s">
        <v>259</v>
      </c>
      <c r="D786" s="31" t="s">
        <v>267</v>
      </c>
      <c r="E786" s="38">
        <v>42263</v>
      </c>
      <c r="F786" s="35">
        <v>9</v>
      </c>
      <c r="G786" s="35">
        <v>3108</v>
      </c>
      <c r="H786" s="46"/>
      <c r="I786" s="47"/>
    </row>
    <row r="787" spans="1:9" x14ac:dyDescent="0.25">
      <c r="A787" s="31" t="s">
        <v>276</v>
      </c>
      <c r="B787" s="31" t="s">
        <v>271</v>
      </c>
      <c r="C787" s="31" t="s">
        <v>259</v>
      </c>
      <c r="D787" s="31" t="s">
        <v>263</v>
      </c>
      <c r="E787" s="38">
        <v>42263</v>
      </c>
      <c r="F787" s="35">
        <v>7</v>
      </c>
      <c r="G787" s="35">
        <v>3790</v>
      </c>
      <c r="H787" s="46"/>
      <c r="I787" s="47"/>
    </row>
    <row r="788" spans="1:9" x14ac:dyDescent="0.25">
      <c r="A788" s="31" t="s">
        <v>274</v>
      </c>
      <c r="B788" s="31" t="s">
        <v>271</v>
      </c>
      <c r="C788" s="31" t="s">
        <v>260</v>
      </c>
      <c r="D788" s="31" t="s">
        <v>275</v>
      </c>
      <c r="E788" s="38">
        <v>42263</v>
      </c>
      <c r="F788" s="35">
        <v>7</v>
      </c>
      <c r="G788" s="35">
        <v>2613</v>
      </c>
      <c r="H788" s="46"/>
      <c r="I788" s="47"/>
    </row>
    <row r="789" spans="1:9" x14ac:dyDescent="0.25">
      <c r="A789" s="31" t="s">
        <v>265</v>
      </c>
      <c r="B789" s="31" t="s">
        <v>271</v>
      </c>
      <c r="C789" s="31" t="s">
        <v>259</v>
      </c>
      <c r="D789" s="31" t="s">
        <v>263</v>
      </c>
      <c r="E789" s="38">
        <v>42264</v>
      </c>
      <c r="F789" s="35">
        <v>11</v>
      </c>
      <c r="G789" s="35">
        <v>6281</v>
      </c>
      <c r="H789" s="46"/>
      <c r="I789" s="47"/>
    </row>
    <row r="790" spans="1:9" x14ac:dyDescent="0.25">
      <c r="A790" s="31" t="s">
        <v>264</v>
      </c>
      <c r="B790" s="31" t="s">
        <v>266</v>
      </c>
      <c r="C790" s="31" t="s">
        <v>259</v>
      </c>
      <c r="D790" s="31" t="s">
        <v>269</v>
      </c>
      <c r="E790" s="38">
        <v>42264</v>
      </c>
      <c r="F790" s="35">
        <v>20</v>
      </c>
      <c r="G790" s="35">
        <v>8106</v>
      </c>
      <c r="H790" s="46"/>
      <c r="I790" s="47"/>
    </row>
    <row r="791" spans="1:9" x14ac:dyDescent="0.25">
      <c r="A791" s="31" t="s">
        <v>264</v>
      </c>
      <c r="B791" s="31" t="s">
        <v>273</v>
      </c>
      <c r="C791" s="31" t="s">
        <v>258</v>
      </c>
      <c r="D791" s="31" t="s">
        <v>267</v>
      </c>
      <c r="E791" s="38">
        <v>42265</v>
      </c>
      <c r="F791" s="35">
        <v>7</v>
      </c>
      <c r="G791" s="35">
        <v>3471</v>
      </c>
      <c r="H791" s="46"/>
      <c r="I791" s="47"/>
    </row>
    <row r="792" spans="1:9" x14ac:dyDescent="0.25">
      <c r="A792" s="31" t="s">
        <v>276</v>
      </c>
      <c r="B792" s="31" t="s">
        <v>278</v>
      </c>
      <c r="C792" s="31" t="s">
        <v>258</v>
      </c>
      <c r="D792" s="31" t="s">
        <v>263</v>
      </c>
      <c r="E792" s="38">
        <v>42266</v>
      </c>
      <c r="F792" s="35">
        <v>8</v>
      </c>
      <c r="G792" s="35">
        <v>4268</v>
      </c>
      <c r="H792" s="46"/>
      <c r="I792" s="47"/>
    </row>
    <row r="793" spans="1:9" x14ac:dyDescent="0.25">
      <c r="A793" s="31" t="s">
        <v>265</v>
      </c>
      <c r="B793" s="31" t="s">
        <v>271</v>
      </c>
      <c r="C793" s="31" t="s">
        <v>258</v>
      </c>
      <c r="D793" s="31" t="s">
        <v>267</v>
      </c>
      <c r="E793" s="38">
        <v>42269</v>
      </c>
      <c r="F793" s="35">
        <v>14</v>
      </c>
      <c r="G793" s="35">
        <v>5121</v>
      </c>
      <c r="H793" s="46"/>
      <c r="I793" s="47"/>
    </row>
    <row r="794" spans="1:9" x14ac:dyDescent="0.25">
      <c r="A794" s="31" t="s">
        <v>276</v>
      </c>
      <c r="B794" s="31" t="s">
        <v>273</v>
      </c>
      <c r="C794" s="31" t="s">
        <v>260</v>
      </c>
      <c r="D794" s="31" t="s">
        <v>275</v>
      </c>
      <c r="E794" s="38">
        <v>42269</v>
      </c>
      <c r="F794" s="35">
        <v>11</v>
      </c>
      <c r="G794" s="35">
        <v>4565</v>
      </c>
      <c r="H794" s="46"/>
      <c r="I794" s="47"/>
    </row>
    <row r="795" spans="1:9" x14ac:dyDescent="0.25">
      <c r="A795" s="31" t="s">
        <v>272</v>
      </c>
      <c r="B795" s="31" t="s">
        <v>262</v>
      </c>
      <c r="C795" s="31" t="s">
        <v>260</v>
      </c>
      <c r="D795" s="31" t="s">
        <v>282</v>
      </c>
      <c r="E795" s="38">
        <v>42270</v>
      </c>
      <c r="F795" s="35">
        <v>4</v>
      </c>
      <c r="G795" s="35">
        <v>1293</v>
      </c>
      <c r="H795" s="46"/>
      <c r="I795" s="47"/>
    </row>
    <row r="796" spans="1:9" x14ac:dyDescent="0.25">
      <c r="A796" s="31" t="s">
        <v>272</v>
      </c>
      <c r="B796" s="31" t="s">
        <v>266</v>
      </c>
      <c r="C796" s="31" t="s">
        <v>259</v>
      </c>
      <c r="D796" s="31" t="s">
        <v>282</v>
      </c>
      <c r="E796" s="38">
        <v>42270</v>
      </c>
      <c r="F796" s="35">
        <v>16</v>
      </c>
      <c r="G796" s="35">
        <v>6138</v>
      </c>
      <c r="H796" s="46"/>
      <c r="I796" s="47"/>
    </row>
    <row r="797" spans="1:9" x14ac:dyDescent="0.25">
      <c r="A797" s="31" t="s">
        <v>277</v>
      </c>
      <c r="B797" s="31" t="s">
        <v>273</v>
      </c>
      <c r="C797" s="31" t="s">
        <v>258</v>
      </c>
      <c r="D797" s="31" t="s">
        <v>263</v>
      </c>
      <c r="E797" s="38">
        <v>42270</v>
      </c>
      <c r="F797" s="35">
        <v>11</v>
      </c>
      <c r="G797" s="35">
        <v>6512</v>
      </c>
      <c r="H797" s="46"/>
      <c r="I797" s="47"/>
    </row>
    <row r="798" spans="1:9" x14ac:dyDescent="0.25">
      <c r="A798" s="31" t="s">
        <v>274</v>
      </c>
      <c r="B798" s="31" t="s">
        <v>266</v>
      </c>
      <c r="C798" s="31" t="s">
        <v>259</v>
      </c>
      <c r="D798" s="31" t="s">
        <v>282</v>
      </c>
      <c r="E798" s="38">
        <v>42271</v>
      </c>
      <c r="F798" s="35">
        <v>5</v>
      </c>
      <c r="G798" s="35">
        <v>1403</v>
      </c>
      <c r="H798" s="46"/>
      <c r="I798" s="47"/>
    </row>
    <row r="799" spans="1:9" x14ac:dyDescent="0.25">
      <c r="A799" s="31" t="s">
        <v>268</v>
      </c>
      <c r="B799" s="31" t="s">
        <v>266</v>
      </c>
      <c r="C799" s="31" t="s">
        <v>259</v>
      </c>
      <c r="D799" s="31" t="s">
        <v>275</v>
      </c>
      <c r="E799" s="38">
        <v>42271</v>
      </c>
      <c r="F799" s="35">
        <v>12</v>
      </c>
      <c r="G799" s="35">
        <v>6644</v>
      </c>
      <c r="H799" s="46"/>
      <c r="I799" s="47"/>
    </row>
    <row r="800" spans="1:9" x14ac:dyDescent="0.25">
      <c r="A800" s="31" t="s">
        <v>270</v>
      </c>
      <c r="B800" s="31" t="s">
        <v>278</v>
      </c>
      <c r="C800" s="31" t="s">
        <v>257</v>
      </c>
      <c r="D800" s="31" t="s">
        <v>263</v>
      </c>
      <c r="E800" s="38">
        <v>42271</v>
      </c>
      <c r="F800" s="35">
        <v>12</v>
      </c>
      <c r="G800" s="35">
        <v>6413</v>
      </c>
      <c r="H800" s="46"/>
      <c r="I800" s="47"/>
    </row>
    <row r="801" spans="1:9" x14ac:dyDescent="0.25">
      <c r="A801" s="31" t="s">
        <v>264</v>
      </c>
      <c r="B801" s="31" t="s">
        <v>271</v>
      </c>
      <c r="C801" s="31" t="s">
        <v>257</v>
      </c>
      <c r="D801" s="31" t="s">
        <v>282</v>
      </c>
      <c r="E801" s="38">
        <v>42272</v>
      </c>
      <c r="F801" s="35">
        <v>10</v>
      </c>
      <c r="G801" s="35">
        <v>3949</v>
      </c>
      <c r="H801" s="46"/>
      <c r="I801" s="47"/>
    </row>
    <row r="802" spans="1:9" x14ac:dyDescent="0.25">
      <c r="A802" s="31" t="s">
        <v>279</v>
      </c>
      <c r="B802" s="31" t="s">
        <v>278</v>
      </c>
      <c r="C802" s="31" t="s">
        <v>260</v>
      </c>
      <c r="D802" s="31" t="s">
        <v>269</v>
      </c>
      <c r="E802" s="38">
        <v>42273</v>
      </c>
      <c r="F802" s="35">
        <v>20</v>
      </c>
      <c r="G802" s="35">
        <v>6733</v>
      </c>
      <c r="H802" s="46"/>
      <c r="I802" s="47"/>
    </row>
    <row r="803" spans="1:9" x14ac:dyDescent="0.25">
      <c r="A803" s="31" t="s">
        <v>268</v>
      </c>
      <c r="B803" s="31" t="s">
        <v>266</v>
      </c>
      <c r="C803" s="31" t="s">
        <v>260</v>
      </c>
      <c r="D803" s="31" t="s">
        <v>267</v>
      </c>
      <c r="E803" s="38">
        <v>42273</v>
      </c>
      <c r="F803" s="35">
        <v>10</v>
      </c>
      <c r="G803" s="35">
        <v>5126</v>
      </c>
      <c r="H803" s="46"/>
      <c r="I803" s="47"/>
    </row>
    <row r="804" spans="1:9" x14ac:dyDescent="0.25">
      <c r="A804" s="31" t="s">
        <v>265</v>
      </c>
      <c r="B804" s="31" t="s">
        <v>266</v>
      </c>
      <c r="C804" s="31" t="s">
        <v>259</v>
      </c>
      <c r="D804" s="31" t="s">
        <v>269</v>
      </c>
      <c r="E804" s="38">
        <v>42276</v>
      </c>
      <c r="F804" s="35">
        <v>15</v>
      </c>
      <c r="G804" s="35">
        <v>6964</v>
      </c>
      <c r="H804" s="46"/>
      <c r="I804" s="47"/>
    </row>
    <row r="805" spans="1:9" x14ac:dyDescent="0.25">
      <c r="A805" s="31" t="s">
        <v>261</v>
      </c>
      <c r="B805" s="31" t="s">
        <v>273</v>
      </c>
      <c r="C805" s="31" t="s">
        <v>258</v>
      </c>
      <c r="D805" s="31" t="s">
        <v>267</v>
      </c>
      <c r="E805" s="38">
        <v>42277</v>
      </c>
      <c r="F805" s="35">
        <v>2</v>
      </c>
      <c r="G805" s="35">
        <v>473</v>
      </c>
      <c r="H805" s="46"/>
      <c r="I805" s="47"/>
    </row>
    <row r="806" spans="1:9" x14ac:dyDescent="0.25">
      <c r="A806" s="31" t="s">
        <v>261</v>
      </c>
      <c r="B806" s="31" t="s">
        <v>273</v>
      </c>
      <c r="C806" s="31" t="s">
        <v>258</v>
      </c>
      <c r="D806" s="31" t="s">
        <v>267</v>
      </c>
      <c r="E806" s="38">
        <v>42277</v>
      </c>
      <c r="F806" s="35">
        <v>2</v>
      </c>
      <c r="G806" s="35">
        <v>473</v>
      </c>
      <c r="H806" s="46"/>
      <c r="I806" s="47"/>
    </row>
    <row r="807" spans="1:9" x14ac:dyDescent="0.25">
      <c r="A807" s="31" t="s">
        <v>265</v>
      </c>
      <c r="B807" s="31" t="s">
        <v>278</v>
      </c>
      <c r="C807" s="31" t="s">
        <v>258</v>
      </c>
      <c r="D807" s="31" t="s">
        <v>275</v>
      </c>
      <c r="E807" s="38">
        <v>42277</v>
      </c>
      <c r="F807" s="35">
        <v>16</v>
      </c>
      <c r="G807" s="35">
        <v>5924</v>
      </c>
      <c r="H807" s="46"/>
      <c r="I807" s="47"/>
    </row>
    <row r="808" spans="1:9" x14ac:dyDescent="0.25">
      <c r="A808" s="31" t="s">
        <v>277</v>
      </c>
      <c r="B808" s="31" t="s">
        <v>271</v>
      </c>
      <c r="C808" s="31" t="s">
        <v>258</v>
      </c>
      <c r="D808" s="31" t="s">
        <v>269</v>
      </c>
      <c r="E808" s="38">
        <v>42277</v>
      </c>
      <c r="F808" s="35">
        <v>13</v>
      </c>
      <c r="G808" s="35">
        <v>4412</v>
      </c>
      <c r="H808" s="46"/>
      <c r="I808" s="47"/>
    </row>
    <row r="809" spans="1:9" x14ac:dyDescent="0.25">
      <c r="A809" s="31" t="s">
        <v>268</v>
      </c>
      <c r="B809" s="31" t="s">
        <v>273</v>
      </c>
      <c r="C809" s="31" t="s">
        <v>260</v>
      </c>
      <c r="D809" s="31" t="s">
        <v>269</v>
      </c>
      <c r="E809" s="38">
        <v>42278</v>
      </c>
      <c r="F809" s="35">
        <v>7</v>
      </c>
      <c r="G809" s="35">
        <v>3366</v>
      </c>
      <c r="H809" s="46"/>
      <c r="I809" s="47"/>
    </row>
    <row r="810" spans="1:9" x14ac:dyDescent="0.25">
      <c r="A810" s="31" t="s">
        <v>265</v>
      </c>
      <c r="B810" s="31" t="s">
        <v>266</v>
      </c>
      <c r="C810" s="31" t="s">
        <v>259</v>
      </c>
      <c r="D810" s="31" t="s">
        <v>275</v>
      </c>
      <c r="E810" s="38">
        <v>42278</v>
      </c>
      <c r="F810" s="35">
        <v>16</v>
      </c>
      <c r="G810" s="35">
        <v>9488</v>
      </c>
      <c r="H810" s="46"/>
      <c r="I810" s="47"/>
    </row>
    <row r="811" spans="1:9" x14ac:dyDescent="0.25">
      <c r="A811" s="31" t="s">
        <v>279</v>
      </c>
      <c r="B811" s="31" t="s">
        <v>271</v>
      </c>
      <c r="C811" s="31" t="s">
        <v>258</v>
      </c>
      <c r="D811" s="31" t="s">
        <v>263</v>
      </c>
      <c r="E811" s="38">
        <v>42278</v>
      </c>
      <c r="F811" s="35">
        <v>2</v>
      </c>
      <c r="G811" s="35">
        <v>611</v>
      </c>
      <c r="H811" s="46"/>
      <c r="I811" s="47"/>
    </row>
    <row r="812" spans="1:9" x14ac:dyDescent="0.25">
      <c r="A812" s="31" t="s">
        <v>268</v>
      </c>
      <c r="B812" s="31" t="s">
        <v>273</v>
      </c>
      <c r="C812" s="31" t="s">
        <v>260</v>
      </c>
      <c r="D812" s="31" t="s">
        <v>263</v>
      </c>
      <c r="E812" s="38">
        <v>42278</v>
      </c>
      <c r="F812" s="35">
        <v>15</v>
      </c>
      <c r="G812" s="35">
        <v>6963</v>
      </c>
      <c r="H812" s="46"/>
      <c r="I812" s="47"/>
    </row>
    <row r="813" spans="1:9" x14ac:dyDescent="0.25">
      <c r="A813" s="31" t="s">
        <v>276</v>
      </c>
      <c r="B813" s="31" t="s">
        <v>273</v>
      </c>
      <c r="C813" s="31" t="s">
        <v>257</v>
      </c>
      <c r="D813" s="31" t="s">
        <v>263</v>
      </c>
      <c r="E813" s="38">
        <v>42279</v>
      </c>
      <c r="F813" s="35">
        <v>13</v>
      </c>
      <c r="G813" s="35">
        <v>6677</v>
      </c>
      <c r="H813" s="46"/>
      <c r="I813" s="47"/>
    </row>
    <row r="814" spans="1:9" x14ac:dyDescent="0.25">
      <c r="A814" s="31" t="s">
        <v>277</v>
      </c>
      <c r="B814" s="31" t="s">
        <v>273</v>
      </c>
      <c r="C814" s="31" t="s">
        <v>259</v>
      </c>
      <c r="D814" s="31" t="s">
        <v>269</v>
      </c>
      <c r="E814" s="38">
        <v>42280</v>
      </c>
      <c r="F814" s="35">
        <v>9</v>
      </c>
      <c r="G814" s="35">
        <v>3388</v>
      </c>
      <c r="H814" s="46"/>
      <c r="I814" s="47"/>
    </row>
    <row r="815" spans="1:9" x14ac:dyDescent="0.25">
      <c r="A815" s="31" t="s">
        <v>279</v>
      </c>
      <c r="B815" s="31" t="s">
        <v>273</v>
      </c>
      <c r="C815" s="31" t="s">
        <v>259</v>
      </c>
      <c r="D815" s="31" t="s">
        <v>267</v>
      </c>
      <c r="E815" s="38">
        <v>42281</v>
      </c>
      <c r="F815" s="35">
        <v>11</v>
      </c>
      <c r="G815" s="35">
        <v>4521</v>
      </c>
      <c r="H815" s="46"/>
      <c r="I815" s="47"/>
    </row>
    <row r="816" spans="1:9" x14ac:dyDescent="0.25">
      <c r="A816" s="31" t="s">
        <v>274</v>
      </c>
      <c r="B816" s="31" t="s">
        <v>262</v>
      </c>
      <c r="C816" s="31" t="s">
        <v>259</v>
      </c>
      <c r="D816" s="31" t="s">
        <v>267</v>
      </c>
      <c r="E816" s="38">
        <v>42283</v>
      </c>
      <c r="F816" s="35">
        <v>5</v>
      </c>
      <c r="G816" s="35">
        <v>1881</v>
      </c>
      <c r="H816" s="46"/>
      <c r="I816" s="47"/>
    </row>
    <row r="817" spans="1:9" x14ac:dyDescent="0.25">
      <c r="A817" s="31" t="s">
        <v>264</v>
      </c>
      <c r="B817" s="31" t="s">
        <v>271</v>
      </c>
      <c r="C817" s="31" t="s">
        <v>258</v>
      </c>
      <c r="D817" s="31" t="s">
        <v>263</v>
      </c>
      <c r="E817" s="38">
        <v>42283</v>
      </c>
      <c r="F817" s="35">
        <v>2</v>
      </c>
      <c r="G817" s="35">
        <v>363</v>
      </c>
      <c r="H817" s="46"/>
      <c r="I817" s="47"/>
    </row>
    <row r="818" spans="1:9" x14ac:dyDescent="0.25">
      <c r="A818" s="31" t="s">
        <v>272</v>
      </c>
      <c r="B818" s="31" t="s">
        <v>266</v>
      </c>
      <c r="C818" s="31" t="s">
        <v>259</v>
      </c>
      <c r="D818" s="31" t="s">
        <v>275</v>
      </c>
      <c r="E818" s="38">
        <v>42284</v>
      </c>
      <c r="F818" s="35">
        <v>4</v>
      </c>
      <c r="G818" s="35">
        <v>1590</v>
      </c>
      <c r="H818" s="46"/>
      <c r="I818" s="47"/>
    </row>
    <row r="819" spans="1:9" x14ac:dyDescent="0.25">
      <c r="A819" s="31" t="s">
        <v>276</v>
      </c>
      <c r="B819" s="31" t="s">
        <v>262</v>
      </c>
      <c r="C819" s="31" t="s">
        <v>258</v>
      </c>
      <c r="D819" s="31" t="s">
        <v>275</v>
      </c>
      <c r="E819" s="38">
        <v>42288</v>
      </c>
      <c r="F819" s="35">
        <v>9</v>
      </c>
      <c r="G819" s="35">
        <v>5264</v>
      </c>
      <c r="H819" s="46"/>
      <c r="I819" s="47"/>
    </row>
    <row r="820" spans="1:9" x14ac:dyDescent="0.25">
      <c r="A820" s="31" t="s">
        <v>270</v>
      </c>
      <c r="B820" s="31" t="s">
        <v>266</v>
      </c>
      <c r="C820" s="31" t="s">
        <v>257</v>
      </c>
      <c r="D820" s="31" t="s">
        <v>269</v>
      </c>
      <c r="E820" s="38">
        <v>42290</v>
      </c>
      <c r="F820" s="35">
        <v>12</v>
      </c>
      <c r="G820" s="35">
        <v>5002</v>
      </c>
      <c r="H820" s="46"/>
      <c r="I820" s="47"/>
    </row>
    <row r="821" spans="1:9" x14ac:dyDescent="0.25">
      <c r="A821" s="31" t="s">
        <v>264</v>
      </c>
      <c r="B821" s="31" t="s">
        <v>271</v>
      </c>
      <c r="C821" s="31" t="s">
        <v>259</v>
      </c>
      <c r="D821" s="31" t="s">
        <v>267</v>
      </c>
      <c r="E821" s="38">
        <v>42294</v>
      </c>
      <c r="F821" s="35">
        <v>7</v>
      </c>
      <c r="G821" s="35">
        <v>2052</v>
      </c>
      <c r="H821" s="46"/>
      <c r="I821" s="47"/>
    </row>
    <row r="822" spans="1:9" x14ac:dyDescent="0.25">
      <c r="A822" s="31" t="s">
        <v>277</v>
      </c>
      <c r="B822" s="31" t="s">
        <v>262</v>
      </c>
      <c r="C822" s="31" t="s">
        <v>258</v>
      </c>
      <c r="D822" s="31" t="s">
        <v>282</v>
      </c>
      <c r="E822" s="38">
        <v>42294</v>
      </c>
      <c r="F822" s="35">
        <v>2</v>
      </c>
      <c r="G822" s="35">
        <v>473</v>
      </c>
      <c r="H822" s="46"/>
      <c r="I822" s="47"/>
    </row>
    <row r="823" spans="1:9" x14ac:dyDescent="0.25">
      <c r="A823" s="31" t="s">
        <v>270</v>
      </c>
      <c r="B823" s="31" t="s">
        <v>273</v>
      </c>
      <c r="C823" s="31" t="s">
        <v>257</v>
      </c>
      <c r="D823" s="31" t="s">
        <v>282</v>
      </c>
      <c r="E823" s="38">
        <v>42295</v>
      </c>
      <c r="F823" s="35">
        <v>2</v>
      </c>
      <c r="G823" s="35">
        <v>550</v>
      </c>
      <c r="H823" s="46"/>
      <c r="I823" s="47"/>
    </row>
    <row r="824" spans="1:9" x14ac:dyDescent="0.25">
      <c r="A824" s="31" t="s">
        <v>264</v>
      </c>
      <c r="B824" s="31" t="s">
        <v>271</v>
      </c>
      <c r="C824" s="31" t="s">
        <v>259</v>
      </c>
      <c r="D824" s="31" t="s">
        <v>269</v>
      </c>
      <c r="E824" s="38">
        <v>42295</v>
      </c>
      <c r="F824" s="35">
        <v>19</v>
      </c>
      <c r="G824" s="35">
        <v>11424</v>
      </c>
      <c r="H824" s="46"/>
      <c r="I824" s="47"/>
    </row>
    <row r="825" spans="1:9" x14ac:dyDescent="0.25">
      <c r="A825" s="31" t="s">
        <v>274</v>
      </c>
      <c r="B825" s="31" t="s">
        <v>271</v>
      </c>
      <c r="C825" s="31" t="s">
        <v>257</v>
      </c>
      <c r="D825" s="31" t="s">
        <v>269</v>
      </c>
      <c r="E825" s="38">
        <v>42297</v>
      </c>
      <c r="F825" s="35">
        <v>17</v>
      </c>
      <c r="G825" s="35">
        <v>10504</v>
      </c>
      <c r="H825" s="46"/>
      <c r="I825" s="47"/>
    </row>
    <row r="826" spans="1:9" x14ac:dyDescent="0.25">
      <c r="A826" s="31" t="s">
        <v>281</v>
      </c>
      <c r="B826" s="31" t="s">
        <v>266</v>
      </c>
      <c r="C826" s="31" t="s">
        <v>257</v>
      </c>
      <c r="D826" s="31" t="s">
        <v>282</v>
      </c>
      <c r="E826" s="38">
        <v>42298</v>
      </c>
      <c r="F826" s="35">
        <v>6</v>
      </c>
      <c r="G826" s="35">
        <v>2118</v>
      </c>
      <c r="H826" s="46"/>
      <c r="I826" s="47"/>
    </row>
    <row r="827" spans="1:9" x14ac:dyDescent="0.25">
      <c r="A827" s="31" t="s">
        <v>281</v>
      </c>
      <c r="B827" s="31" t="s">
        <v>266</v>
      </c>
      <c r="C827" s="31" t="s">
        <v>259</v>
      </c>
      <c r="D827" s="31" t="s">
        <v>282</v>
      </c>
      <c r="E827" s="38">
        <v>42298</v>
      </c>
      <c r="F827" s="35">
        <v>14</v>
      </c>
      <c r="G827" s="35">
        <v>6765</v>
      </c>
      <c r="H827" s="46"/>
      <c r="I827" s="47"/>
    </row>
    <row r="828" spans="1:9" x14ac:dyDescent="0.25">
      <c r="A828" s="31" t="s">
        <v>268</v>
      </c>
      <c r="B828" s="31" t="s">
        <v>278</v>
      </c>
      <c r="C828" s="31" t="s">
        <v>258</v>
      </c>
      <c r="D828" s="31" t="s">
        <v>275</v>
      </c>
      <c r="E828" s="38">
        <v>42298</v>
      </c>
      <c r="F828" s="35">
        <v>9</v>
      </c>
      <c r="G828" s="35">
        <v>4620</v>
      </c>
      <c r="H828" s="46"/>
      <c r="I828" s="47"/>
    </row>
    <row r="829" spans="1:9" x14ac:dyDescent="0.25">
      <c r="A829" s="31" t="s">
        <v>274</v>
      </c>
      <c r="B829" s="31" t="s">
        <v>273</v>
      </c>
      <c r="C829" s="31" t="s">
        <v>257</v>
      </c>
      <c r="D829" s="31" t="s">
        <v>269</v>
      </c>
      <c r="E829" s="38">
        <v>42298</v>
      </c>
      <c r="F829" s="35">
        <v>19</v>
      </c>
      <c r="G829" s="35">
        <v>10852</v>
      </c>
      <c r="H829" s="46"/>
      <c r="I829" s="47"/>
    </row>
    <row r="830" spans="1:9" x14ac:dyDescent="0.25">
      <c r="A830" s="31" t="s">
        <v>268</v>
      </c>
      <c r="B830" s="31" t="s">
        <v>273</v>
      </c>
      <c r="C830" s="31" t="s">
        <v>257</v>
      </c>
      <c r="D830" s="31" t="s">
        <v>267</v>
      </c>
      <c r="E830" s="38">
        <v>42301</v>
      </c>
      <c r="F830" s="35">
        <v>3</v>
      </c>
      <c r="G830" s="35">
        <v>1271</v>
      </c>
      <c r="H830" s="46"/>
      <c r="I830" s="47"/>
    </row>
    <row r="831" spans="1:9" x14ac:dyDescent="0.25">
      <c r="A831" s="31" t="s">
        <v>281</v>
      </c>
      <c r="B831" s="31" t="s">
        <v>273</v>
      </c>
      <c r="C831" s="31" t="s">
        <v>260</v>
      </c>
      <c r="D831" s="31" t="s">
        <v>282</v>
      </c>
      <c r="E831" s="38">
        <v>42302</v>
      </c>
      <c r="F831" s="35">
        <v>14</v>
      </c>
      <c r="G831" s="35">
        <v>7464</v>
      </c>
      <c r="H831" s="46"/>
      <c r="I831" s="47"/>
    </row>
    <row r="832" spans="1:9" x14ac:dyDescent="0.25">
      <c r="A832" s="31" t="s">
        <v>270</v>
      </c>
      <c r="B832" s="31" t="s">
        <v>266</v>
      </c>
      <c r="C832" s="31" t="s">
        <v>258</v>
      </c>
      <c r="D832" s="31" t="s">
        <v>269</v>
      </c>
      <c r="E832" s="38">
        <v>42304</v>
      </c>
      <c r="F832" s="35">
        <v>9</v>
      </c>
      <c r="G832" s="35">
        <v>5148</v>
      </c>
      <c r="H832" s="46"/>
      <c r="I832" s="47"/>
    </row>
    <row r="833" spans="1:9" x14ac:dyDescent="0.25">
      <c r="A833" s="31" t="s">
        <v>272</v>
      </c>
      <c r="B833" s="31" t="s">
        <v>266</v>
      </c>
      <c r="C833" s="31" t="s">
        <v>258</v>
      </c>
      <c r="D833" s="31" t="s">
        <v>267</v>
      </c>
      <c r="E833" s="38">
        <v>42305</v>
      </c>
      <c r="F833" s="35">
        <v>8</v>
      </c>
      <c r="G833" s="35">
        <v>4202</v>
      </c>
      <c r="H833" s="46"/>
      <c r="I833" s="47"/>
    </row>
    <row r="834" spans="1:9" x14ac:dyDescent="0.25">
      <c r="A834" s="31" t="s">
        <v>279</v>
      </c>
      <c r="B834" s="31" t="s">
        <v>262</v>
      </c>
      <c r="C834" s="31" t="s">
        <v>260</v>
      </c>
      <c r="D834" s="31" t="s">
        <v>282</v>
      </c>
      <c r="E834" s="38">
        <v>42305</v>
      </c>
      <c r="F834" s="35">
        <v>12</v>
      </c>
      <c r="G834" s="35">
        <v>6947</v>
      </c>
      <c r="H834" s="46"/>
      <c r="I834" s="47"/>
    </row>
    <row r="835" spans="1:9" x14ac:dyDescent="0.25">
      <c r="A835" s="31" t="s">
        <v>265</v>
      </c>
      <c r="B835" s="31" t="s">
        <v>271</v>
      </c>
      <c r="C835" s="31" t="s">
        <v>259</v>
      </c>
      <c r="D835" s="31" t="s">
        <v>263</v>
      </c>
      <c r="E835" s="38">
        <v>42305</v>
      </c>
      <c r="F835" s="35">
        <v>12</v>
      </c>
      <c r="G835" s="35">
        <v>6738</v>
      </c>
      <c r="H835" s="46"/>
      <c r="I835" s="47"/>
    </row>
    <row r="836" spans="1:9" x14ac:dyDescent="0.25">
      <c r="A836" s="31" t="s">
        <v>277</v>
      </c>
      <c r="B836" s="31" t="s">
        <v>278</v>
      </c>
      <c r="C836" s="31" t="s">
        <v>260</v>
      </c>
      <c r="D836" s="31" t="s">
        <v>267</v>
      </c>
      <c r="E836" s="38">
        <v>42306</v>
      </c>
      <c r="F836" s="35">
        <v>2</v>
      </c>
      <c r="G836" s="35">
        <v>391</v>
      </c>
      <c r="H836" s="46"/>
      <c r="I836" s="47"/>
    </row>
    <row r="837" spans="1:9" x14ac:dyDescent="0.25">
      <c r="A837" s="31" t="s">
        <v>264</v>
      </c>
      <c r="B837" s="31" t="s">
        <v>271</v>
      </c>
      <c r="C837" s="31" t="s">
        <v>257</v>
      </c>
      <c r="D837" s="31" t="s">
        <v>282</v>
      </c>
      <c r="E837" s="38">
        <v>42306</v>
      </c>
      <c r="F837" s="35">
        <v>9</v>
      </c>
      <c r="G837" s="35">
        <v>3009</v>
      </c>
      <c r="H837" s="46"/>
      <c r="I837" s="47"/>
    </row>
    <row r="838" spans="1:9" x14ac:dyDescent="0.25">
      <c r="A838" s="31" t="s">
        <v>276</v>
      </c>
      <c r="B838" s="31" t="s">
        <v>266</v>
      </c>
      <c r="C838" s="31" t="s">
        <v>259</v>
      </c>
      <c r="D838" s="31" t="s">
        <v>267</v>
      </c>
      <c r="E838" s="38">
        <v>42306</v>
      </c>
      <c r="F838" s="35">
        <v>14</v>
      </c>
      <c r="G838" s="35">
        <v>6166</v>
      </c>
      <c r="H838" s="46"/>
      <c r="I838" s="47"/>
    </row>
    <row r="839" spans="1:9" x14ac:dyDescent="0.25">
      <c r="A839" s="31" t="s">
        <v>270</v>
      </c>
      <c r="B839" s="31" t="s">
        <v>262</v>
      </c>
      <c r="C839" s="31" t="s">
        <v>257</v>
      </c>
      <c r="D839" s="31" t="s">
        <v>269</v>
      </c>
      <c r="E839" s="38">
        <v>42307</v>
      </c>
      <c r="F839" s="35">
        <v>18</v>
      </c>
      <c r="G839" s="35">
        <v>9989</v>
      </c>
      <c r="H839" s="46"/>
      <c r="I839" s="47"/>
    </row>
    <row r="840" spans="1:9" x14ac:dyDescent="0.25">
      <c r="A840" s="31" t="s">
        <v>274</v>
      </c>
      <c r="B840" s="31" t="s">
        <v>266</v>
      </c>
      <c r="C840" s="31" t="s">
        <v>260</v>
      </c>
      <c r="D840" s="31" t="s">
        <v>267</v>
      </c>
      <c r="E840" s="38">
        <v>42307</v>
      </c>
      <c r="F840" s="35">
        <v>3</v>
      </c>
      <c r="G840" s="35">
        <v>990</v>
      </c>
      <c r="H840" s="46"/>
      <c r="I840" s="47"/>
    </row>
    <row r="841" spans="1:9" x14ac:dyDescent="0.25">
      <c r="A841" s="31" t="s">
        <v>270</v>
      </c>
      <c r="B841" s="31" t="s">
        <v>273</v>
      </c>
      <c r="C841" s="31" t="s">
        <v>260</v>
      </c>
      <c r="D841" s="31" t="s">
        <v>275</v>
      </c>
      <c r="E841" s="38">
        <v>42307</v>
      </c>
      <c r="F841" s="35">
        <v>8</v>
      </c>
      <c r="G841" s="35">
        <v>3674</v>
      </c>
      <c r="H841" s="46"/>
      <c r="I841" s="47"/>
    </row>
    <row r="842" spans="1:9" x14ac:dyDescent="0.25">
      <c r="A842" s="31" t="s">
        <v>272</v>
      </c>
      <c r="B842" s="31" t="s">
        <v>262</v>
      </c>
      <c r="C842" s="31" t="s">
        <v>259</v>
      </c>
      <c r="D842" s="31" t="s">
        <v>275</v>
      </c>
      <c r="E842" s="38">
        <v>42308</v>
      </c>
      <c r="F842" s="35">
        <v>7</v>
      </c>
      <c r="G842" s="35">
        <v>3064</v>
      </c>
      <c r="H842" s="46"/>
      <c r="I842" s="47"/>
    </row>
    <row r="843" spans="1:9" x14ac:dyDescent="0.25">
      <c r="A843" s="31" t="s">
        <v>272</v>
      </c>
      <c r="B843" s="31" t="s">
        <v>273</v>
      </c>
      <c r="C843" s="31" t="s">
        <v>260</v>
      </c>
      <c r="D843" s="31" t="s">
        <v>263</v>
      </c>
      <c r="E843" s="38">
        <v>42309</v>
      </c>
      <c r="F843" s="35">
        <v>10</v>
      </c>
      <c r="G843" s="35">
        <v>5632</v>
      </c>
      <c r="H843" s="46"/>
      <c r="I843" s="47"/>
    </row>
    <row r="844" spans="1:9" x14ac:dyDescent="0.25">
      <c r="A844" s="31" t="s">
        <v>276</v>
      </c>
      <c r="B844" s="31" t="s">
        <v>273</v>
      </c>
      <c r="C844" s="31" t="s">
        <v>260</v>
      </c>
      <c r="D844" s="31" t="s">
        <v>269</v>
      </c>
      <c r="E844" s="38">
        <v>42309</v>
      </c>
      <c r="F844" s="35">
        <v>10</v>
      </c>
      <c r="G844" s="35">
        <v>3441</v>
      </c>
      <c r="H844" s="46"/>
      <c r="I844" s="47"/>
    </row>
    <row r="845" spans="1:9" x14ac:dyDescent="0.25">
      <c r="A845" s="31" t="s">
        <v>261</v>
      </c>
      <c r="B845" s="31" t="s">
        <v>278</v>
      </c>
      <c r="C845" s="31" t="s">
        <v>257</v>
      </c>
      <c r="D845" s="31" t="s">
        <v>275</v>
      </c>
      <c r="E845" s="38">
        <v>42312</v>
      </c>
      <c r="F845" s="35">
        <v>2</v>
      </c>
      <c r="G845" s="35">
        <v>633</v>
      </c>
      <c r="H845" s="46"/>
      <c r="I845" s="47"/>
    </row>
    <row r="846" spans="1:9" x14ac:dyDescent="0.25">
      <c r="A846" s="31" t="s">
        <v>281</v>
      </c>
      <c r="B846" s="31" t="s">
        <v>262</v>
      </c>
      <c r="C846" s="31" t="s">
        <v>260</v>
      </c>
      <c r="D846" s="31" t="s">
        <v>275</v>
      </c>
      <c r="E846" s="38">
        <v>42312</v>
      </c>
      <c r="F846" s="35">
        <v>11</v>
      </c>
      <c r="G846" s="35">
        <v>5071</v>
      </c>
      <c r="H846" s="46"/>
      <c r="I846" s="47"/>
    </row>
    <row r="847" spans="1:9" x14ac:dyDescent="0.25">
      <c r="A847" s="31" t="s">
        <v>276</v>
      </c>
      <c r="B847" s="31" t="s">
        <v>273</v>
      </c>
      <c r="C847" s="31" t="s">
        <v>259</v>
      </c>
      <c r="D847" s="31" t="s">
        <v>282</v>
      </c>
      <c r="E847" s="38">
        <v>42312</v>
      </c>
      <c r="F847" s="35">
        <v>14</v>
      </c>
      <c r="G847" s="35">
        <v>7453</v>
      </c>
      <c r="H847" s="46"/>
      <c r="I847" s="47"/>
    </row>
    <row r="848" spans="1:9" x14ac:dyDescent="0.25">
      <c r="A848" s="31" t="s">
        <v>276</v>
      </c>
      <c r="B848" s="31" t="s">
        <v>266</v>
      </c>
      <c r="C848" s="31" t="s">
        <v>258</v>
      </c>
      <c r="D848" s="31" t="s">
        <v>275</v>
      </c>
      <c r="E848" s="38">
        <v>42313</v>
      </c>
      <c r="F848" s="35">
        <v>2</v>
      </c>
      <c r="G848" s="35">
        <v>479</v>
      </c>
      <c r="H848" s="46"/>
      <c r="I848" s="47"/>
    </row>
    <row r="849" spans="1:9" x14ac:dyDescent="0.25">
      <c r="A849" s="31" t="s">
        <v>265</v>
      </c>
      <c r="B849" s="31" t="s">
        <v>266</v>
      </c>
      <c r="C849" s="31" t="s">
        <v>260</v>
      </c>
      <c r="D849" s="31" t="s">
        <v>267</v>
      </c>
      <c r="E849" s="38">
        <v>42314</v>
      </c>
      <c r="F849" s="35">
        <v>8</v>
      </c>
      <c r="G849" s="35">
        <v>3344</v>
      </c>
      <c r="H849" s="46"/>
      <c r="I849" s="47"/>
    </row>
    <row r="850" spans="1:9" x14ac:dyDescent="0.25">
      <c r="A850" s="31" t="s">
        <v>270</v>
      </c>
      <c r="B850" s="31" t="s">
        <v>271</v>
      </c>
      <c r="C850" s="31" t="s">
        <v>259</v>
      </c>
      <c r="D850" s="31" t="s">
        <v>267</v>
      </c>
      <c r="E850" s="38">
        <v>42315</v>
      </c>
      <c r="F850" s="35">
        <v>11</v>
      </c>
      <c r="G850" s="35">
        <v>6369</v>
      </c>
      <c r="H850" s="46"/>
      <c r="I850" s="47"/>
    </row>
    <row r="851" spans="1:9" x14ac:dyDescent="0.25">
      <c r="A851" s="31" t="s">
        <v>261</v>
      </c>
      <c r="B851" s="31" t="s">
        <v>273</v>
      </c>
      <c r="C851" s="31" t="s">
        <v>260</v>
      </c>
      <c r="D851" s="31" t="s">
        <v>275</v>
      </c>
      <c r="E851" s="38">
        <v>42315</v>
      </c>
      <c r="F851" s="35">
        <v>7</v>
      </c>
      <c r="G851" s="35">
        <v>3130</v>
      </c>
      <c r="H851" s="46"/>
      <c r="I851" s="47"/>
    </row>
    <row r="852" spans="1:9" x14ac:dyDescent="0.25">
      <c r="A852" s="31" t="s">
        <v>270</v>
      </c>
      <c r="B852" s="31" t="s">
        <v>271</v>
      </c>
      <c r="C852" s="31" t="s">
        <v>258</v>
      </c>
      <c r="D852" s="31" t="s">
        <v>267</v>
      </c>
      <c r="E852" s="38">
        <v>42316</v>
      </c>
      <c r="F852" s="35">
        <v>3</v>
      </c>
      <c r="G852" s="35">
        <v>1315</v>
      </c>
      <c r="H852" s="46"/>
      <c r="I852" s="47"/>
    </row>
    <row r="853" spans="1:9" x14ac:dyDescent="0.25">
      <c r="A853" s="31" t="s">
        <v>270</v>
      </c>
      <c r="B853" s="31" t="s">
        <v>262</v>
      </c>
      <c r="C853" s="31" t="s">
        <v>257</v>
      </c>
      <c r="D853" s="31" t="s">
        <v>275</v>
      </c>
      <c r="E853" s="38">
        <v>42316</v>
      </c>
      <c r="F853" s="35">
        <v>14</v>
      </c>
      <c r="G853" s="35">
        <v>5308</v>
      </c>
      <c r="H853" s="46"/>
      <c r="I853" s="47"/>
    </row>
    <row r="854" spans="1:9" x14ac:dyDescent="0.25">
      <c r="A854" s="31" t="s">
        <v>270</v>
      </c>
      <c r="B854" s="31" t="s">
        <v>271</v>
      </c>
      <c r="C854" s="31" t="s">
        <v>259</v>
      </c>
      <c r="D854" s="31" t="s">
        <v>263</v>
      </c>
      <c r="E854" s="38">
        <v>42319</v>
      </c>
      <c r="F854" s="35">
        <v>4</v>
      </c>
      <c r="G854" s="35">
        <v>1133</v>
      </c>
      <c r="H854" s="46"/>
      <c r="I854" s="47"/>
    </row>
    <row r="855" spans="1:9" x14ac:dyDescent="0.25">
      <c r="A855" s="31" t="s">
        <v>270</v>
      </c>
      <c r="B855" s="31" t="s">
        <v>273</v>
      </c>
      <c r="C855" s="31" t="s">
        <v>257</v>
      </c>
      <c r="D855" s="31" t="s">
        <v>263</v>
      </c>
      <c r="E855" s="38">
        <v>42319</v>
      </c>
      <c r="F855" s="35">
        <v>9</v>
      </c>
      <c r="G855" s="35">
        <v>4180</v>
      </c>
      <c r="H855" s="46"/>
      <c r="I855" s="47"/>
    </row>
    <row r="856" spans="1:9" x14ac:dyDescent="0.25">
      <c r="A856" s="31" t="s">
        <v>264</v>
      </c>
      <c r="B856" s="31" t="s">
        <v>266</v>
      </c>
      <c r="C856" s="31" t="s">
        <v>260</v>
      </c>
      <c r="D856" s="31" t="s">
        <v>269</v>
      </c>
      <c r="E856" s="38">
        <v>42320</v>
      </c>
      <c r="F856" s="35">
        <v>20</v>
      </c>
      <c r="G856" s="35">
        <v>7651</v>
      </c>
      <c r="H856" s="46"/>
      <c r="I856" s="47"/>
    </row>
    <row r="857" spans="1:9" x14ac:dyDescent="0.25">
      <c r="A857" s="31" t="s">
        <v>276</v>
      </c>
      <c r="B857" s="31" t="s">
        <v>266</v>
      </c>
      <c r="C857" s="31" t="s">
        <v>258</v>
      </c>
      <c r="D857" s="31" t="s">
        <v>263</v>
      </c>
      <c r="E857" s="38">
        <v>42320</v>
      </c>
      <c r="F857" s="35">
        <v>4</v>
      </c>
      <c r="G857" s="35">
        <v>1683</v>
      </c>
      <c r="H857" s="46"/>
      <c r="I857" s="47"/>
    </row>
    <row r="858" spans="1:9" x14ac:dyDescent="0.25">
      <c r="A858" s="31" t="s">
        <v>279</v>
      </c>
      <c r="B858" s="31" t="s">
        <v>278</v>
      </c>
      <c r="C858" s="31" t="s">
        <v>260</v>
      </c>
      <c r="D858" s="31" t="s">
        <v>275</v>
      </c>
      <c r="E858" s="38">
        <v>42320</v>
      </c>
      <c r="F858" s="35">
        <v>13</v>
      </c>
      <c r="G858" s="35">
        <v>6100</v>
      </c>
      <c r="H858" s="46"/>
      <c r="I858" s="47"/>
    </row>
    <row r="859" spans="1:9" x14ac:dyDescent="0.25">
      <c r="A859" s="31" t="s">
        <v>261</v>
      </c>
      <c r="B859" s="31" t="s">
        <v>273</v>
      </c>
      <c r="C859" s="31" t="s">
        <v>260</v>
      </c>
      <c r="D859" s="31" t="s">
        <v>282</v>
      </c>
      <c r="E859" s="38">
        <v>42321</v>
      </c>
      <c r="F859" s="35">
        <v>4</v>
      </c>
      <c r="G859" s="35">
        <v>1579</v>
      </c>
      <c r="H859" s="46"/>
      <c r="I859" s="47"/>
    </row>
    <row r="860" spans="1:9" x14ac:dyDescent="0.25">
      <c r="A860" s="31" t="s">
        <v>279</v>
      </c>
      <c r="B860" s="31" t="s">
        <v>273</v>
      </c>
      <c r="C860" s="31" t="s">
        <v>259</v>
      </c>
      <c r="D860" s="31" t="s">
        <v>263</v>
      </c>
      <c r="E860" s="38">
        <v>42322</v>
      </c>
      <c r="F860" s="35">
        <v>4</v>
      </c>
      <c r="G860" s="35">
        <v>1051</v>
      </c>
      <c r="H860" s="46"/>
      <c r="I860" s="47"/>
    </row>
    <row r="861" spans="1:9" x14ac:dyDescent="0.25">
      <c r="A861" s="31" t="s">
        <v>281</v>
      </c>
      <c r="B861" s="31" t="s">
        <v>262</v>
      </c>
      <c r="C861" s="31" t="s">
        <v>259</v>
      </c>
      <c r="D861" s="31" t="s">
        <v>282</v>
      </c>
      <c r="E861" s="38">
        <v>42323</v>
      </c>
      <c r="F861" s="35">
        <v>8</v>
      </c>
      <c r="G861" s="35">
        <v>4527</v>
      </c>
      <c r="H861" s="46"/>
      <c r="I861" s="47"/>
    </row>
    <row r="862" spans="1:9" x14ac:dyDescent="0.25">
      <c r="A862" s="31" t="s">
        <v>274</v>
      </c>
      <c r="B862" s="31" t="s">
        <v>266</v>
      </c>
      <c r="C862" s="31" t="s">
        <v>257</v>
      </c>
      <c r="D862" s="31" t="s">
        <v>282</v>
      </c>
      <c r="E862" s="38">
        <v>42325</v>
      </c>
      <c r="F862" s="35">
        <v>2</v>
      </c>
      <c r="G862" s="35">
        <v>600</v>
      </c>
      <c r="H862" s="46"/>
      <c r="I862" s="47"/>
    </row>
    <row r="863" spans="1:9" x14ac:dyDescent="0.25">
      <c r="A863" s="31" t="s">
        <v>279</v>
      </c>
      <c r="B863" s="31" t="s">
        <v>266</v>
      </c>
      <c r="C863" s="31" t="s">
        <v>258</v>
      </c>
      <c r="D863" s="31" t="s">
        <v>267</v>
      </c>
      <c r="E863" s="38">
        <v>42325</v>
      </c>
      <c r="F863" s="35">
        <v>11</v>
      </c>
      <c r="G863" s="35">
        <v>4763</v>
      </c>
      <c r="H863" s="46"/>
      <c r="I863" s="47"/>
    </row>
    <row r="864" spans="1:9" x14ac:dyDescent="0.25">
      <c r="A864" s="31" t="s">
        <v>268</v>
      </c>
      <c r="B864" s="31" t="s">
        <v>271</v>
      </c>
      <c r="C864" s="31" t="s">
        <v>260</v>
      </c>
      <c r="D864" s="31" t="s">
        <v>282</v>
      </c>
      <c r="E864" s="38">
        <v>42325</v>
      </c>
      <c r="F864" s="35">
        <v>9</v>
      </c>
      <c r="G864" s="35">
        <v>4521</v>
      </c>
      <c r="H864" s="46"/>
      <c r="I864" s="47"/>
    </row>
    <row r="865" spans="1:9" x14ac:dyDescent="0.25">
      <c r="A865" s="31" t="s">
        <v>280</v>
      </c>
      <c r="B865" s="31" t="s">
        <v>266</v>
      </c>
      <c r="C865" s="31" t="s">
        <v>257</v>
      </c>
      <c r="D865" s="31" t="s">
        <v>275</v>
      </c>
      <c r="E865" s="38">
        <v>42326</v>
      </c>
      <c r="F865" s="35">
        <v>11</v>
      </c>
      <c r="G865" s="35">
        <v>3454</v>
      </c>
      <c r="H865" s="46"/>
      <c r="I865" s="47"/>
    </row>
    <row r="866" spans="1:9" x14ac:dyDescent="0.25">
      <c r="A866" s="31" t="s">
        <v>274</v>
      </c>
      <c r="B866" s="31" t="s">
        <v>262</v>
      </c>
      <c r="C866" s="31" t="s">
        <v>258</v>
      </c>
      <c r="D866" s="31" t="s">
        <v>263</v>
      </c>
      <c r="E866" s="38">
        <v>42326</v>
      </c>
      <c r="F866" s="35">
        <v>11</v>
      </c>
      <c r="G866" s="35">
        <v>6589</v>
      </c>
      <c r="H866" s="46"/>
      <c r="I866" s="47"/>
    </row>
    <row r="867" spans="1:9" x14ac:dyDescent="0.25">
      <c r="A867" s="31" t="s">
        <v>280</v>
      </c>
      <c r="B867" s="31" t="s">
        <v>271</v>
      </c>
      <c r="C867" s="31" t="s">
        <v>258</v>
      </c>
      <c r="D867" s="31" t="s">
        <v>263</v>
      </c>
      <c r="E867" s="38">
        <v>42326</v>
      </c>
      <c r="F867" s="35">
        <v>11</v>
      </c>
      <c r="G867" s="35">
        <v>5599</v>
      </c>
      <c r="H867" s="46"/>
      <c r="I867" s="47"/>
    </row>
    <row r="868" spans="1:9" x14ac:dyDescent="0.25">
      <c r="A868" s="31" t="s">
        <v>277</v>
      </c>
      <c r="B868" s="31" t="s">
        <v>266</v>
      </c>
      <c r="C868" s="31" t="s">
        <v>258</v>
      </c>
      <c r="D868" s="31" t="s">
        <v>275</v>
      </c>
      <c r="E868" s="38">
        <v>42327</v>
      </c>
      <c r="F868" s="35">
        <v>7</v>
      </c>
      <c r="G868" s="35">
        <v>3432</v>
      </c>
      <c r="H868" s="46"/>
      <c r="I868" s="47"/>
    </row>
    <row r="869" spans="1:9" x14ac:dyDescent="0.25">
      <c r="A869" s="31" t="s">
        <v>280</v>
      </c>
      <c r="B869" s="31" t="s">
        <v>273</v>
      </c>
      <c r="C869" s="31" t="s">
        <v>258</v>
      </c>
      <c r="D869" s="31" t="s">
        <v>275</v>
      </c>
      <c r="E869" s="38">
        <v>42327</v>
      </c>
      <c r="F869" s="35">
        <v>2</v>
      </c>
      <c r="G869" s="35">
        <v>550</v>
      </c>
      <c r="H869" s="46"/>
      <c r="I869" s="47"/>
    </row>
    <row r="870" spans="1:9" x14ac:dyDescent="0.25">
      <c r="A870" s="31" t="s">
        <v>274</v>
      </c>
      <c r="B870" s="31" t="s">
        <v>266</v>
      </c>
      <c r="C870" s="31" t="s">
        <v>260</v>
      </c>
      <c r="D870" s="31" t="s">
        <v>269</v>
      </c>
      <c r="E870" s="38">
        <v>42328</v>
      </c>
      <c r="F870" s="35">
        <v>19</v>
      </c>
      <c r="G870" s="35">
        <v>10273</v>
      </c>
      <c r="H870" s="46"/>
      <c r="I870" s="47"/>
    </row>
    <row r="871" spans="1:9" x14ac:dyDescent="0.25">
      <c r="A871" s="31" t="s">
        <v>264</v>
      </c>
      <c r="B871" s="31" t="s">
        <v>271</v>
      </c>
      <c r="C871" s="31" t="s">
        <v>258</v>
      </c>
      <c r="D871" s="31" t="s">
        <v>263</v>
      </c>
      <c r="E871" s="38">
        <v>42332</v>
      </c>
      <c r="F871" s="35">
        <v>3</v>
      </c>
      <c r="G871" s="35">
        <v>1238</v>
      </c>
      <c r="H871" s="46"/>
      <c r="I871" s="47"/>
    </row>
    <row r="872" spans="1:9" x14ac:dyDescent="0.25">
      <c r="A872" s="31" t="s">
        <v>281</v>
      </c>
      <c r="B872" s="31" t="s">
        <v>271</v>
      </c>
      <c r="C872" s="31" t="s">
        <v>259</v>
      </c>
      <c r="D872" s="31" t="s">
        <v>267</v>
      </c>
      <c r="E872" s="38">
        <v>42333</v>
      </c>
      <c r="F872" s="35">
        <v>10</v>
      </c>
      <c r="G872" s="35">
        <v>3971</v>
      </c>
      <c r="H872" s="46"/>
      <c r="I872" s="47"/>
    </row>
    <row r="873" spans="1:9" x14ac:dyDescent="0.25">
      <c r="A873" s="31" t="s">
        <v>270</v>
      </c>
      <c r="B873" s="31" t="s">
        <v>266</v>
      </c>
      <c r="C873" s="31" t="s">
        <v>257</v>
      </c>
      <c r="D873" s="31" t="s">
        <v>275</v>
      </c>
      <c r="E873" s="38">
        <v>42333</v>
      </c>
      <c r="F873" s="35">
        <v>16</v>
      </c>
      <c r="G873" s="35">
        <v>8514</v>
      </c>
      <c r="H873" s="46"/>
      <c r="I873" s="47"/>
    </row>
    <row r="874" spans="1:9" x14ac:dyDescent="0.25">
      <c r="A874" s="31" t="s">
        <v>265</v>
      </c>
      <c r="B874" s="31" t="s">
        <v>262</v>
      </c>
      <c r="C874" s="31" t="s">
        <v>257</v>
      </c>
      <c r="D874" s="31" t="s">
        <v>267</v>
      </c>
      <c r="E874" s="38">
        <v>42335</v>
      </c>
      <c r="F874" s="35">
        <v>10</v>
      </c>
      <c r="G874" s="35">
        <v>3405</v>
      </c>
      <c r="H874" s="46"/>
      <c r="I874" s="47"/>
    </row>
    <row r="875" spans="1:9" x14ac:dyDescent="0.25">
      <c r="A875" s="31" t="s">
        <v>280</v>
      </c>
      <c r="B875" s="31" t="s">
        <v>271</v>
      </c>
      <c r="C875" s="31" t="s">
        <v>257</v>
      </c>
      <c r="D875" s="31" t="s">
        <v>275</v>
      </c>
      <c r="E875" s="38">
        <v>42335</v>
      </c>
      <c r="F875" s="35">
        <v>14</v>
      </c>
      <c r="G875" s="35">
        <v>7205</v>
      </c>
      <c r="H875" s="46"/>
      <c r="I875" s="47"/>
    </row>
    <row r="876" spans="1:9" x14ac:dyDescent="0.25">
      <c r="A876" s="31" t="s">
        <v>264</v>
      </c>
      <c r="B876" s="31" t="s">
        <v>278</v>
      </c>
      <c r="C876" s="31" t="s">
        <v>257</v>
      </c>
      <c r="D876" s="31" t="s">
        <v>263</v>
      </c>
      <c r="E876" s="38">
        <v>42335</v>
      </c>
      <c r="F876" s="35">
        <v>6</v>
      </c>
      <c r="G876" s="35">
        <v>2899</v>
      </c>
      <c r="H876" s="46"/>
      <c r="I876" s="47"/>
    </row>
    <row r="877" spans="1:9" x14ac:dyDescent="0.25">
      <c r="A877" s="31" t="s">
        <v>261</v>
      </c>
      <c r="B877" s="31" t="s">
        <v>271</v>
      </c>
      <c r="C877" s="31" t="s">
        <v>259</v>
      </c>
      <c r="D877" s="31" t="s">
        <v>269</v>
      </c>
      <c r="E877" s="38">
        <v>42336</v>
      </c>
      <c r="F877" s="35">
        <v>14</v>
      </c>
      <c r="G877" s="35">
        <v>7096</v>
      </c>
      <c r="H877" s="46"/>
      <c r="I877" s="47"/>
    </row>
    <row r="878" spans="1:9" x14ac:dyDescent="0.25">
      <c r="A878" s="31" t="s">
        <v>261</v>
      </c>
      <c r="B878" s="31" t="s">
        <v>271</v>
      </c>
      <c r="C878" s="31" t="s">
        <v>260</v>
      </c>
      <c r="D878" s="31" t="s">
        <v>267</v>
      </c>
      <c r="E878" s="38">
        <v>42337</v>
      </c>
      <c r="F878" s="35">
        <v>13</v>
      </c>
      <c r="G878" s="35">
        <v>6072</v>
      </c>
      <c r="H878" s="46"/>
      <c r="I878" s="47"/>
    </row>
    <row r="879" spans="1:9" x14ac:dyDescent="0.25">
      <c r="A879" s="31" t="s">
        <v>270</v>
      </c>
      <c r="B879" s="31" t="s">
        <v>273</v>
      </c>
      <c r="C879" s="31" t="s">
        <v>258</v>
      </c>
      <c r="D879" s="31" t="s">
        <v>282</v>
      </c>
      <c r="E879" s="38">
        <v>42337</v>
      </c>
      <c r="F879" s="35">
        <v>16</v>
      </c>
      <c r="G879" s="35">
        <v>9356</v>
      </c>
      <c r="H879" s="46"/>
      <c r="I879" s="47"/>
    </row>
    <row r="880" spans="1:9" x14ac:dyDescent="0.25">
      <c r="A880" s="31" t="s">
        <v>261</v>
      </c>
      <c r="B880" s="31" t="s">
        <v>271</v>
      </c>
      <c r="C880" s="31" t="s">
        <v>257</v>
      </c>
      <c r="D880" s="31" t="s">
        <v>267</v>
      </c>
      <c r="E880" s="38">
        <v>42340</v>
      </c>
      <c r="F880" s="35">
        <v>8</v>
      </c>
      <c r="G880" s="35">
        <v>3449</v>
      </c>
      <c r="H880" s="46"/>
      <c r="I880" s="47"/>
    </row>
    <row r="881" spans="1:9" x14ac:dyDescent="0.25">
      <c r="A881" s="31" t="s">
        <v>279</v>
      </c>
      <c r="B881" s="31" t="s">
        <v>266</v>
      </c>
      <c r="C881" s="31" t="s">
        <v>257</v>
      </c>
      <c r="D881" s="31" t="s">
        <v>267</v>
      </c>
      <c r="E881" s="38">
        <v>42341</v>
      </c>
      <c r="F881" s="35">
        <v>6</v>
      </c>
      <c r="G881" s="35">
        <v>1705</v>
      </c>
      <c r="H881" s="46"/>
      <c r="I881" s="47"/>
    </row>
    <row r="882" spans="1:9" x14ac:dyDescent="0.25">
      <c r="A882" s="31" t="s">
        <v>279</v>
      </c>
      <c r="B882" s="31" t="s">
        <v>278</v>
      </c>
      <c r="C882" s="31" t="s">
        <v>257</v>
      </c>
      <c r="D882" s="31" t="s">
        <v>267</v>
      </c>
      <c r="E882" s="38">
        <v>42342</v>
      </c>
      <c r="F882" s="35">
        <v>16</v>
      </c>
      <c r="G882" s="35">
        <v>9603</v>
      </c>
      <c r="H882" s="46"/>
      <c r="I882" s="47"/>
    </row>
    <row r="883" spans="1:9" x14ac:dyDescent="0.25">
      <c r="A883" s="31" t="s">
        <v>265</v>
      </c>
      <c r="B883" s="31" t="s">
        <v>266</v>
      </c>
      <c r="C883" s="31" t="s">
        <v>260</v>
      </c>
      <c r="D883" s="31" t="s">
        <v>267</v>
      </c>
      <c r="E883" s="38">
        <v>42342</v>
      </c>
      <c r="F883" s="35">
        <v>15</v>
      </c>
      <c r="G883" s="35">
        <v>4818</v>
      </c>
      <c r="H883" s="46"/>
      <c r="I883" s="47"/>
    </row>
    <row r="884" spans="1:9" x14ac:dyDescent="0.25">
      <c r="A884" s="31" t="s">
        <v>261</v>
      </c>
      <c r="B884" s="31" t="s">
        <v>271</v>
      </c>
      <c r="C884" s="31" t="s">
        <v>259</v>
      </c>
      <c r="D884" s="31" t="s">
        <v>275</v>
      </c>
      <c r="E884" s="38">
        <v>42342</v>
      </c>
      <c r="F884" s="35">
        <v>12</v>
      </c>
      <c r="G884" s="35">
        <v>5786</v>
      </c>
      <c r="H884" s="46"/>
      <c r="I884" s="47"/>
    </row>
    <row r="885" spans="1:9" x14ac:dyDescent="0.25">
      <c r="A885" s="31" t="s">
        <v>279</v>
      </c>
      <c r="B885" s="31" t="s">
        <v>273</v>
      </c>
      <c r="C885" s="31" t="s">
        <v>258</v>
      </c>
      <c r="D885" s="31" t="s">
        <v>267</v>
      </c>
      <c r="E885" s="38">
        <v>42343</v>
      </c>
      <c r="F885" s="35">
        <v>13</v>
      </c>
      <c r="G885" s="35">
        <v>7667</v>
      </c>
      <c r="H885" s="46"/>
      <c r="I885" s="47"/>
    </row>
    <row r="886" spans="1:9" x14ac:dyDescent="0.25">
      <c r="A886" s="31" t="s">
        <v>274</v>
      </c>
      <c r="B886" s="31" t="s">
        <v>262</v>
      </c>
      <c r="C886" s="31" t="s">
        <v>259</v>
      </c>
      <c r="D886" s="31" t="s">
        <v>282</v>
      </c>
      <c r="E886" s="38">
        <v>42344</v>
      </c>
      <c r="F886" s="35">
        <v>15</v>
      </c>
      <c r="G886" s="35">
        <v>4851</v>
      </c>
      <c r="H886" s="46"/>
      <c r="I886" s="47"/>
    </row>
    <row r="887" spans="1:9" x14ac:dyDescent="0.25">
      <c r="A887" s="31" t="s">
        <v>276</v>
      </c>
      <c r="B887" s="31" t="s">
        <v>262</v>
      </c>
      <c r="C887" s="31" t="s">
        <v>259</v>
      </c>
      <c r="D887" s="31" t="s">
        <v>269</v>
      </c>
      <c r="E887" s="38">
        <v>42344</v>
      </c>
      <c r="F887" s="35">
        <v>12</v>
      </c>
      <c r="G887" s="35">
        <v>7209</v>
      </c>
      <c r="H887" s="46"/>
      <c r="I887" s="47"/>
    </row>
    <row r="888" spans="1:9" x14ac:dyDescent="0.25">
      <c r="A888" s="31" t="s">
        <v>264</v>
      </c>
      <c r="B888" s="31" t="s">
        <v>273</v>
      </c>
      <c r="C888" s="31" t="s">
        <v>258</v>
      </c>
      <c r="D888" s="31" t="s">
        <v>269</v>
      </c>
      <c r="E888" s="38">
        <v>42344</v>
      </c>
      <c r="F888" s="35">
        <v>7</v>
      </c>
      <c r="G888" s="35">
        <v>3465</v>
      </c>
      <c r="H888" s="46"/>
      <c r="I888" s="47"/>
    </row>
    <row r="889" spans="1:9" x14ac:dyDescent="0.25">
      <c r="A889" s="31" t="s">
        <v>281</v>
      </c>
      <c r="B889" s="31" t="s">
        <v>273</v>
      </c>
      <c r="C889" s="31" t="s">
        <v>260</v>
      </c>
      <c r="D889" s="31" t="s">
        <v>275</v>
      </c>
      <c r="E889" s="38">
        <v>42346</v>
      </c>
      <c r="F889" s="35">
        <v>7</v>
      </c>
      <c r="G889" s="35">
        <v>2734</v>
      </c>
      <c r="H889" s="46"/>
      <c r="I889" s="47"/>
    </row>
    <row r="890" spans="1:9" x14ac:dyDescent="0.25">
      <c r="A890" s="31" t="s">
        <v>276</v>
      </c>
      <c r="B890" s="31" t="s">
        <v>271</v>
      </c>
      <c r="C890" s="31" t="s">
        <v>257</v>
      </c>
      <c r="D890" s="31" t="s">
        <v>269</v>
      </c>
      <c r="E890" s="38">
        <v>42346</v>
      </c>
      <c r="F890" s="35">
        <v>14</v>
      </c>
      <c r="G890" s="35">
        <v>7954</v>
      </c>
      <c r="H890" s="46"/>
      <c r="I890" s="47"/>
    </row>
    <row r="891" spans="1:9" x14ac:dyDescent="0.25">
      <c r="A891" s="31" t="s">
        <v>265</v>
      </c>
      <c r="B891" s="31" t="s">
        <v>271</v>
      </c>
      <c r="C891" s="31" t="s">
        <v>260</v>
      </c>
      <c r="D891" s="31" t="s">
        <v>269</v>
      </c>
      <c r="E891" s="38">
        <v>42347</v>
      </c>
      <c r="F891" s="35">
        <v>12</v>
      </c>
      <c r="G891" s="35">
        <v>4407</v>
      </c>
      <c r="H891" s="46"/>
      <c r="I891" s="47"/>
    </row>
    <row r="892" spans="1:9" x14ac:dyDescent="0.25">
      <c r="A892" s="31" t="s">
        <v>277</v>
      </c>
      <c r="B892" s="31" t="s">
        <v>271</v>
      </c>
      <c r="C892" s="31" t="s">
        <v>259</v>
      </c>
      <c r="D892" s="31" t="s">
        <v>282</v>
      </c>
      <c r="E892" s="38">
        <v>42347</v>
      </c>
      <c r="F892" s="35">
        <v>6</v>
      </c>
      <c r="G892" s="35">
        <v>3190</v>
      </c>
      <c r="H892" s="46"/>
      <c r="I892" s="47"/>
    </row>
    <row r="893" spans="1:9" x14ac:dyDescent="0.25">
      <c r="A893" s="31" t="s">
        <v>277</v>
      </c>
      <c r="B893" s="31" t="s">
        <v>273</v>
      </c>
      <c r="C893" s="31" t="s">
        <v>258</v>
      </c>
      <c r="D893" s="31" t="s">
        <v>263</v>
      </c>
      <c r="E893" s="38">
        <v>42347</v>
      </c>
      <c r="F893" s="35">
        <v>6</v>
      </c>
      <c r="G893" s="35">
        <v>2167</v>
      </c>
      <c r="H893" s="46"/>
      <c r="I893" s="47"/>
    </row>
    <row r="894" spans="1:9" x14ac:dyDescent="0.25">
      <c r="A894" s="31" t="s">
        <v>281</v>
      </c>
      <c r="B894" s="31" t="s">
        <v>273</v>
      </c>
      <c r="C894" s="31" t="s">
        <v>260</v>
      </c>
      <c r="D894" s="31" t="s">
        <v>275</v>
      </c>
      <c r="E894" s="38">
        <v>42347</v>
      </c>
      <c r="F894" s="35">
        <v>8</v>
      </c>
      <c r="G894" s="35">
        <v>4180</v>
      </c>
      <c r="H894" s="46"/>
      <c r="I894" s="47"/>
    </row>
    <row r="895" spans="1:9" x14ac:dyDescent="0.25">
      <c r="A895" s="31" t="s">
        <v>265</v>
      </c>
      <c r="B895" s="31" t="s">
        <v>273</v>
      </c>
      <c r="C895" s="31" t="s">
        <v>260</v>
      </c>
      <c r="D895" s="31" t="s">
        <v>267</v>
      </c>
      <c r="E895" s="38">
        <v>42347</v>
      </c>
      <c r="F895" s="35">
        <v>5</v>
      </c>
      <c r="G895" s="35">
        <v>1788</v>
      </c>
      <c r="H895" s="46"/>
      <c r="I895" s="47"/>
    </row>
    <row r="896" spans="1:9" x14ac:dyDescent="0.25">
      <c r="A896" s="31" t="s">
        <v>265</v>
      </c>
      <c r="B896" s="31" t="s">
        <v>262</v>
      </c>
      <c r="C896" s="31" t="s">
        <v>258</v>
      </c>
      <c r="D896" s="31" t="s">
        <v>269</v>
      </c>
      <c r="E896" s="38">
        <v>42348</v>
      </c>
      <c r="F896" s="35">
        <v>9</v>
      </c>
      <c r="G896" s="35">
        <v>3462</v>
      </c>
      <c r="H896" s="46"/>
      <c r="I896" s="47"/>
    </row>
    <row r="897" spans="1:35" x14ac:dyDescent="0.25">
      <c r="A897" s="31" t="s">
        <v>280</v>
      </c>
      <c r="B897" s="31" t="s">
        <v>262</v>
      </c>
      <c r="C897" s="31" t="s">
        <v>257</v>
      </c>
      <c r="D897" s="31" t="s">
        <v>269</v>
      </c>
      <c r="E897" s="38">
        <v>42353</v>
      </c>
      <c r="F897" s="35">
        <v>13</v>
      </c>
      <c r="G897" s="35">
        <v>4847</v>
      </c>
      <c r="H897" s="46"/>
      <c r="I897" s="47"/>
    </row>
    <row r="898" spans="1:35" x14ac:dyDescent="0.25">
      <c r="A898" s="31" t="s">
        <v>274</v>
      </c>
      <c r="B898" s="31" t="s">
        <v>271</v>
      </c>
      <c r="C898" s="31" t="s">
        <v>258</v>
      </c>
      <c r="D898" s="31" t="s">
        <v>282</v>
      </c>
      <c r="E898" s="38">
        <v>42353</v>
      </c>
      <c r="F898" s="35">
        <v>16</v>
      </c>
      <c r="G898" s="35">
        <v>9537</v>
      </c>
      <c r="H898" s="46"/>
      <c r="I898" s="47"/>
    </row>
    <row r="899" spans="1:35" x14ac:dyDescent="0.25">
      <c r="A899" s="31" t="s">
        <v>264</v>
      </c>
      <c r="B899" s="31" t="s">
        <v>266</v>
      </c>
      <c r="C899" s="31" t="s">
        <v>259</v>
      </c>
      <c r="D899" s="31" t="s">
        <v>282</v>
      </c>
      <c r="E899" s="38">
        <v>42353</v>
      </c>
      <c r="F899" s="35">
        <v>4</v>
      </c>
      <c r="G899" s="35">
        <v>1183</v>
      </c>
      <c r="H899" s="46"/>
      <c r="I899" s="47"/>
    </row>
    <row r="900" spans="1:35" x14ac:dyDescent="0.25">
      <c r="A900" s="31" t="s">
        <v>274</v>
      </c>
      <c r="B900" s="31" t="s">
        <v>271</v>
      </c>
      <c r="C900" s="31" t="s">
        <v>260</v>
      </c>
      <c r="D900" s="31" t="s">
        <v>282</v>
      </c>
      <c r="E900" s="38">
        <v>42353</v>
      </c>
      <c r="F900" s="35">
        <v>13</v>
      </c>
      <c r="G900" s="35">
        <v>5357</v>
      </c>
      <c r="H900" s="46"/>
      <c r="I900" s="47"/>
    </row>
    <row r="901" spans="1:35" x14ac:dyDescent="0.25">
      <c r="A901" s="31" t="s">
        <v>270</v>
      </c>
      <c r="B901" s="31" t="s">
        <v>271</v>
      </c>
      <c r="C901" s="31" t="s">
        <v>258</v>
      </c>
      <c r="D901" s="31" t="s">
        <v>269</v>
      </c>
      <c r="E901" s="38">
        <v>42354</v>
      </c>
      <c r="F901" s="35">
        <v>21</v>
      </c>
      <c r="G901" s="35">
        <v>10362</v>
      </c>
      <c r="H901" s="46"/>
      <c r="I901" s="47"/>
    </row>
    <row r="902" spans="1:35" x14ac:dyDescent="0.25">
      <c r="A902" s="31" t="s">
        <v>274</v>
      </c>
      <c r="B902" s="31" t="s">
        <v>278</v>
      </c>
      <c r="C902" s="31" t="s">
        <v>259</v>
      </c>
      <c r="D902" s="31" t="s">
        <v>267</v>
      </c>
      <c r="E902" s="38">
        <v>42354</v>
      </c>
      <c r="F902" s="35">
        <v>8</v>
      </c>
      <c r="G902" s="35">
        <v>3383</v>
      </c>
      <c r="H902" s="46"/>
      <c r="I902" s="47"/>
    </row>
    <row r="903" spans="1:35" x14ac:dyDescent="0.25">
      <c r="A903" s="31" t="s">
        <v>276</v>
      </c>
      <c r="B903" s="31" t="s">
        <v>266</v>
      </c>
      <c r="C903" s="31" t="s">
        <v>260</v>
      </c>
      <c r="D903" s="31" t="s">
        <v>269</v>
      </c>
      <c r="E903" s="38">
        <v>42354</v>
      </c>
      <c r="F903" s="35">
        <v>10</v>
      </c>
      <c r="G903" s="35">
        <v>4170</v>
      </c>
      <c r="H903" s="46"/>
      <c r="I903" s="47"/>
    </row>
    <row r="904" spans="1:35" x14ac:dyDescent="0.25">
      <c r="A904" s="31" t="s">
        <v>264</v>
      </c>
      <c r="B904" s="31" t="s">
        <v>262</v>
      </c>
      <c r="C904" s="31" t="s">
        <v>258</v>
      </c>
      <c r="D904" s="31" t="s">
        <v>269</v>
      </c>
      <c r="E904" s="38">
        <v>42355</v>
      </c>
      <c r="F904" s="35">
        <v>19</v>
      </c>
      <c r="G904" s="35">
        <v>6870</v>
      </c>
      <c r="H904" s="46"/>
      <c r="I904" s="47"/>
    </row>
    <row r="905" spans="1:35" x14ac:dyDescent="0.25">
      <c r="A905" s="31" t="s">
        <v>261</v>
      </c>
      <c r="B905" s="31" t="s">
        <v>271</v>
      </c>
      <c r="C905" s="31" t="s">
        <v>260</v>
      </c>
      <c r="D905" s="31" t="s">
        <v>275</v>
      </c>
      <c r="E905" s="38">
        <v>42355</v>
      </c>
      <c r="F905" s="35">
        <v>13</v>
      </c>
      <c r="G905" s="35">
        <v>5847</v>
      </c>
      <c r="H905" s="46"/>
      <c r="I905" s="47"/>
    </row>
    <row r="906" spans="1:35" x14ac:dyDescent="0.25">
      <c r="A906" s="31" t="s">
        <v>268</v>
      </c>
      <c r="B906" s="31" t="s">
        <v>273</v>
      </c>
      <c r="C906" s="31" t="s">
        <v>257</v>
      </c>
      <c r="D906" s="31" t="s">
        <v>267</v>
      </c>
      <c r="E906" s="38">
        <v>42356</v>
      </c>
      <c r="F906" s="35">
        <v>4</v>
      </c>
      <c r="G906" s="35">
        <v>1309</v>
      </c>
      <c r="H906" s="46"/>
      <c r="I906" s="47"/>
    </row>
    <row r="907" spans="1:35" x14ac:dyDescent="0.25">
      <c r="A907" s="31" t="s">
        <v>261</v>
      </c>
      <c r="B907" s="31" t="s">
        <v>271</v>
      </c>
      <c r="C907" s="31" t="s">
        <v>258</v>
      </c>
      <c r="D907" s="31" t="s">
        <v>263</v>
      </c>
      <c r="E907" s="38">
        <v>42357</v>
      </c>
      <c r="F907" s="35">
        <v>16</v>
      </c>
      <c r="G907" s="35">
        <v>7656</v>
      </c>
      <c r="H907" s="46"/>
      <c r="I907" s="47"/>
    </row>
    <row r="908" spans="1:35" x14ac:dyDescent="0.25">
      <c r="A908" s="31" t="s">
        <v>265</v>
      </c>
      <c r="B908" s="31" t="s">
        <v>273</v>
      </c>
      <c r="C908" s="31" t="s">
        <v>259</v>
      </c>
      <c r="D908" s="31" t="s">
        <v>282</v>
      </c>
      <c r="E908" s="38">
        <v>42360</v>
      </c>
      <c r="F908" s="35">
        <v>9</v>
      </c>
      <c r="G908" s="35">
        <v>4477</v>
      </c>
      <c r="H908" s="46"/>
      <c r="I908" s="47"/>
    </row>
    <row r="909" spans="1:35" x14ac:dyDescent="0.25">
      <c r="A909" s="31" t="s">
        <v>280</v>
      </c>
      <c r="B909" s="31" t="s">
        <v>278</v>
      </c>
      <c r="C909" s="31" t="s">
        <v>257</v>
      </c>
      <c r="D909" s="31" t="s">
        <v>267</v>
      </c>
      <c r="E909" s="38">
        <v>42361</v>
      </c>
      <c r="F909" s="35">
        <v>12</v>
      </c>
      <c r="G909" s="35">
        <v>6485</v>
      </c>
      <c r="H909" s="46"/>
      <c r="I909" s="47"/>
    </row>
    <row r="910" spans="1:35" x14ac:dyDescent="0.25">
      <c r="A910" s="31" t="s">
        <v>280</v>
      </c>
      <c r="B910" s="31" t="s">
        <v>262</v>
      </c>
      <c r="C910" s="31" t="s">
        <v>260</v>
      </c>
      <c r="D910" s="31" t="s">
        <v>282</v>
      </c>
      <c r="E910" s="38">
        <v>42362</v>
      </c>
      <c r="F910" s="35">
        <v>15</v>
      </c>
      <c r="G910" s="35">
        <v>5049</v>
      </c>
      <c r="H910" s="46"/>
      <c r="I910" s="47"/>
    </row>
    <row r="911" spans="1:35" s="35" customFormat="1" x14ac:dyDescent="0.25">
      <c r="A911" s="31"/>
      <c r="B911" s="31"/>
      <c r="C911" s="31"/>
      <c r="D911" s="31"/>
      <c r="E911" s="38"/>
      <c r="H911" s="31"/>
      <c r="I911" s="37"/>
      <c r="J911" s="31"/>
      <c r="K911" s="31"/>
      <c r="L911" s="31"/>
      <c r="M911" s="31"/>
      <c r="N911" s="31"/>
      <c r="O911" s="31"/>
      <c r="P911" s="31"/>
      <c r="Q911" s="31"/>
      <c r="R911" s="31"/>
      <c r="S911" s="31"/>
      <c r="T911" s="31"/>
      <c r="U911" s="31"/>
      <c r="V911" s="31"/>
      <c r="W911" s="31"/>
      <c r="X911" s="31"/>
      <c r="Y911" s="31"/>
      <c r="Z911" s="31"/>
      <c r="AA911" s="31"/>
      <c r="AB911" s="31"/>
      <c r="AC911" s="31"/>
      <c r="AD911" s="31"/>
      <c r="AE911" s="31"/>
      <c r="AF911" s="31"/>
      <c r="AG911" s="31"/>
      <c r="AH911" s="31"/>
      <c r="AI911" s="31"/>
    </row>
  </sheetData>
  <sortState xmlns:xlrd2="http://schemas.microsoft.com/office/spreadsheetml/2017/richdata2" ref="A2:G910">
    <sortCondition ref="E2"/>
  </sortState>
  <printOptions gridLines="1" gridLinesSet="0"/>
  <pageMargins left="0.75" right="0.75" top="1" bottom="1" header="0.5" footer="0.5"/>
  <pageSetup orientation="portrait" horizontalDpi="4294967292" r:id="rId2"/>
  <headerFooter alignWithMargins="0">
    <oddHeader>&amp;A</oddHeader>
    <oddFooter>Page &amp;P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3">
    <tabColor indexed="11"/>
    <pageSetUpPr autoPageBreaks="0"/>
  </sheetPr>
  <dimension ref="A1:I742"/>
  <sheetViews>
    <sheetView zoomScaleNormal="110" zoomScaleSheetLayoutView="100" workbookViewId="0"/>
  </sheetViews>
  <sheetFormatPr defaultColWidth="19.85546875" defaultRowHeight="21" x14ac:dyDescent="0.35"/>
  <cols>
    <col min="1" max="1" width="26.85546875" style="51" bestFit="1" customWidth="1"/>
    <col min="2" max="2" width="19" style="62" bestFit="1" customWidth="1"/>
    <col min="3" max="3" width="15.42578125" style="52" customWidth="1"/>
    <col min="4" max="4" width="15.42578125" style="63" customWidth="1"/>
    <col min="5" max="5" width="15.42578125" style="64" customWidth="1"/>
    <col min="6" max="6" width="13" style="55" customWidth="1"/>
    <col min="7" max="7" width="15.42578125" style="65" customWidth="1"/>
    <col min="8" max="8" width="39.5703125" style="51" bestFit="1" customWidth="1"/>
    <col min="9" max="16384" width="19.85546875" style="51"/>
  </cols>
  <sheetData>
    <row r="1" spans="1:9" ht="56.25" x14ac:dyDescent="0.35">
      <c r="A1" s="131" t="s">
        <v>0</v>
      </c>
      <c r="B1" s="132" t="s">
        <v>2</v>
      </c>
      <c r="C1" s="133" t="s">
        <v>3</v>
      </c>
      <c r="D1" s="134" t="s">
        <v>4</v>
      </c>
      <c r="E1" s="135" t="s">
        <v>286</v>
      </c>
      <c r="F1" s="136" t="s">
        <v>285</v>
      </c>
      <c r="G1" s="137" t="s">
        <v>362</v>
      </c>
    </row>
    <row r="2" spans="1:9" x14ac:dyDescent="0.35">
      <c r="A2" s="138" t="s">
        <v>6</v>
      </c>
      <c r="B2" s="139">
        <v>2172311269</v>
      </c>
      <c r="C2" s="140">
        <f>36952+(7*364)</f>
        <v>39500</v>
      </c>
      <c r="D2" s="141">
        <f t="shared" ref="D2:D33" ca="1" si="0">DATEDIF(C2,TODAY(),"Y")</f>
        <v>13</v>
      </c>
      <c r="E2" s="142">
        <v>29509</v>
      </c>
      <c r="F2" s="143">
        <v>30232</v>
      </c>
      <c r="G2" s="144">
        <v>4</v>
      </c>
      <c r="I2" s="52"/>
    </row>
    <row r="3" spans="1:9" x14ac:dyDescent="0.35">
      <c r="A3" s="138" t="s">
        <v>7</v>
      </c>
      <c r="B3" s="139">
        <v>2172311270</v>
      </c>
      <c r="C3" s="140">
        <f>34159+(7*364)</f>
        <v>36707</v>
      </c>
      <c r="D3" s="141">
        <f t="shared" ca="1" si="0"/>
        <v>20</v>
      </c>
      <c r="E3" s="142">
        <v>55627</v>
      </c>
      <c r="F3" s="143">
        <v>57691</v>
      </c>
      <c r="G3" s="144">
        <v>5</v>
      </c>
      <c r="H3" s="51" t="s">
        <v>445</v>
      </c>
    </row>
    <row r="4" spans="1:9" x14ac:dyDescent="0.35">
      <c r="A4" s="138" t="s">
        <v>8</v>
      </c>
      <c r="B4" s="139">
        <v>2172311271</v>
      </c>
      <c r="C4" s="140">
        <f>35772+(7*364)</f>
        <v>38320</v>
      </c>
      <c r="D4" s="141">
        <f t="shared" ca="1" si="0"/>
        <v>16</v>
      </c>
      <c r="E4" s="142">
        <v>33088</v>
      </c>
      <c r="F4" s="143">
        <v>34316</v>
      </c>
      <c r="G4" s="144">
        <v>3</v>
      </c>
      <c r="H4" s="51" t="s">
        <v>446</v>
      </c>
    </row>
    <row r="5" spans="1:9" x14ac:dyDescent="0.35">
      <c r="A5" s="138" t="s">
        <v>249</v>
      </c>
      <c r="B5" s="139">
        <v>2172311272</v>
      </c>
      <c r="C5" s="140">
        <f>39744+(7*364)</f>
        <v>42292</v>
      </c>
      <c r="D5" s="141">
        <f t="shared" ca="1" si="0"/>
        <v>5</v>
      </c>
      <c r="E5" s="142">
        <v>31266</v>
      </c>
      <c r="F5" s="143">
        <v>32427</v>
      </c>
      <c r="G5" s="144">
        <v>2</v>
      </c>
      <c r="H5" s="51" t="s">
        <v>447</v>
      </c>
    </row>
    <row r="6" spans="1:9" x14ac:dyDescent="0.35">
      <c r="A6" s="138" t="s">
        <v>9</v>
      </c>
      <c r="B6" s="139">
        <v>2172311273</v>
      </c>
      <c r="C6" s="140">
        <f>36238+(7*364)</f>
        <v>38786</v>
      </c>
      <c r="D6" s="141">
        <f t="shared" ca="1" si="0"/>
        <v>15</v>
      </c>
      <c r="E6" s="142">
        <v>72611</v>
      </c>
      <c r="F6" s="143">
        <v>75305</v>
      </c>
      <c r="G6" s="144">
        <v>1</v>
      </c>
      <c r="H6" s="51" t="s">
        <v>448</v>
      </c>
    </row>
    <row r="7" spans="1:9" x14ac:dyDescent="0.35">
      <c r="A7" s="138" t="s">
        <v>10</v>
      </c>
      <c r="B7" s="139">
        <v>2172311274</v>
      </c>
      <c r="C7" s="140">
        <f>39423+(7*364)</f>
        <v>41971</v>
      </c>
      <c r="D7" s="141">
        <f t="shared" ca="1" si="0"/>
        <v>6</v>
      </c>
      <c r="E7" s="142">
        <v>65285</v>
      </c>
      <c r="F7" s="143">
        <v>67707</v>
      </c>
      <c r="G7" s="144">
        <v>5</v>
      </c>
    </row>
    <row r="8" spans="1:9" x14ac:dyDescent="0.35">
      <c r="A8" s="138" t="s">
        <v>11</v>
      </c>
      <c r="B8" s="139">
        <v>2172311275</v>
      </c>
      <c r="C8" s="140">
        <f>39296+(7*364)</f>
        <v>41844</v>
      </c>
      <c r="D8" s="141">
        <f t="shared" ca="1" si="0"/>
        <v>6</v>
      </c>
      <c r="E8" s="142">
        <v>11700</v>
      </c>
      <c r="F8" s="143">
        <v>12134</v>
      </c>
      <c r="G8" s="144">
        <v>2</v>
      </c>
      <c r="H8" s="51" t="s">
        <v>441</v>
      </c>
    </row>
    <row r="9" spans="1:9" x14ac:dyDescent="0.35">
      <c r="A9" s="138" t="s">
        <v>12</v>
      </c>
      <c r="B9" s="139">
        <v>2172311276</v>
      </c>
      <c r="C9" s="140">
        <f>32328+(7*364)</f>
        <v>34876</v>
      </c>
      <c r="D9" s="141">
        <f t="shared" ca="1" si="0"/>
        <v>25</v>
      </c>
      <c r="E9" s="142">
        <v>36555</v>
      </c>
      <c r="F9" s="143">
        <v>37912</v>
      </c>
      <c r="G9" s="144">
        <v>4</v>
      </c>
      <c r="H9" s="51" t="s">
        <v>442</v>
      </c>
    </row>
    <row r="10" spans="1:9" x14ac:dyDescent="0.35">
      <c r="A10" s="138" t="s">
        <v>13</v>
      </c>
      <c r="B10" s="139">
        <v>2172311277</v>
      </c>
      <c r="C10" s="140">
        <f>37491+(7*364)</f>
        <v>40039</v>
      </c>
      <c r="D10" s="141">
        <f t="shared" ca="1" si="0"/>
        <v>11</v>
      </c>
      <c r="E10" s="142">
        <v>77836</v>
      </c>
      <c r="F10" s="143">
        <v>80724</v>
      </c>
      <c r="G10" s="144">
        <v>5</v>
      </c>
      <c r="H10" s="51" t="s">
        <v>443</v>
      </c>
    </row>
    <row r="11" spans="1:9" x14ac:dyDescent="0.35">
      <c r="A11" s="138" t="s">
        <v>14</v>
      </c>
      <c r="B11" s="139">
        <v>2172311278</v>
      </c>
      <c r="C11" s="140">
        <f>34254+(7*364)</f>
        <v>36802</v>
      </c>
      <c r="D11" s="141">
        <f t="shared" ca="1" si="0"/>
        <v>20</v>
      </c>
      <c r="E11" s="142">
        <v>54186</v>
      </c>
      <c r="F11" s="143">
        <v>56197</v>
      </c>
      <c r="G11" s="144">
        <v>3</v>
      </c>
      <c r="H11" s="51" t="s">
        <v>444</v>
      </c>
    </row>
    <row r="12" spans="1:9" x14ac:dyDescent="0.35">
      <c r="A12" s="138" t="s">
        <v>15</v>
      </c>
      <c r="B12" s="139">
        <v>2172311279</v>
      </c>
      <c r="C12" s="140">
        <f>34425+(7*364)</f>
        <v>36973</v>
      </c>
      <c r="D12" s="141">
        <f t="shared" ca="1" si="0"/>
        <v>20</v>
      </c>
      <c r="E12" s="142">
        <v>98241</v>
      </c>
      <c r="F12" s="143">
        <v>101885</v>
      </c>
      <c r="G12" s="144">
        <v>5</v>
      </c>
    </row>
    <row r="13" spans="1:9" x14ac:dyDescent="0.35">
      <c r="A13" s="138" t="s">
        <v>16</v>
      </c>
      <c r="B13" s="139">
        <v>2172311280</v>
      </c>
      <c r="C13" s="140">
        <f>36900+(7*364)</f>
        <v>39448</v>
      </c>
      <c r="D13" s="141">
        <f t="shared" ca="1" si="0"/>
        <v>13</v>
      </c>
      <c r="E13" s="142">
        <v>19781</v>
      </c>
      <c r="F13" s="143">
        <v>20144</v>
      </c>
      <c r="G13" s="144">
        <v>1</v>
      </c>
      <c r="H13" s="51" t="s">
        <v>449</v>
      </c>
    </row>
    <row r="14" spans="1:9" x14ac:dyDescent="0.35">
      <c r="A14" s="138" t="s">
        <v>17</v>
      </c>
      <c r="B14" s="139">
        <v>2172311281</v>
      </c>
      <c r="C14" s="140">
        <f>34256+(7*364)</f>
        <v>36804</v>
      </c>
      <c r="D14" s="141">
        <f t="shared" ca="1" si="0"/>
        <v>20</v>
      </c>
      <c r="E14" s="142">
        <v>85085</v>
      </c>
      <c r="F14" s="143">
        <v>88242</v>
      </c>
      <c r="G14" s="144">
        <v>5</v>
      </c>
    </row>
    <row r="15" spans="1:9" x14ac:dyDescent="0.35">
      <c r="A15" s="138" t="s">
        <v>18</v>
      </c>
      <c r="B15" s="139">
        <v>2172311282</v>
      </c>
      <c r="C15" s="140">
        <f>32745+(7*364)</f>
        <v>35293</v>
      </c>
      <c r="D15" s="141">
        <f t="shared" ca="1" si="0"/>
        <v>24</v>
      </c>
      <c r="E15" s="142">
        <v>67540</v>
      </c>
      <c r="F15" s="143">
        <v>70046</v>
      </c>
      <c r="G15" s="144">
        <v>1</v>
      </c>
    </row>
    <row r="16" spans="1:9" x14ac:dyDescent="0.35">
      <c r="A16" s="138" t="s">
        <v>19</v>
      </c>
      <c r="B16" s="139">
        <v>2172311283</v>
      </c>
      <c r="C16" s="140">
        <f>34684+(7*364)</f>
        <v>37232</v>
      </c>
      <c r="D16" s="141">
        <f t="shared" ca="1" si="0"/>
        <v>19</v>
      </c>
      <c r="E16" s="142">
        <v>29161</v>
      </c>
      <c r="F16" s="143">
        <v>30243</v>
      </c>
      <c r="G16" s="144">
        <v>4</v>
      </c>
    </row>
    <row r="17" spans="1:7" x14ac:dyDescent="0.35">
      <c r="A17" s="138" t="s">
        <v>20</v>
      </c>
      <c r="B17" s="139">
        <v>2172311284</v>
      </c>
      <c r="C17" s="140">
        <f>35362+(7*364)</f>
        <v>37910</v>
      </c>
      <c r="D17" s="141">
        <f t="shared" ca="1" si="0"/>
        <v>17</v>
      </c>
      <c r="E17" s="142">
        <v>52382</v>
      </c>
      <c r="F17" s="143">
        <v>54326</v>
      </c>
      <c r="G17" s="144">
        <v>5</v>
      </c>
    </row>
    <row r="18" spans="1:7" x14ac:dyDescent="0.35">
      <c r="A18" s="138" t="s">
        <v>21</v>
      </c>
      <c r="B18" s="139">
        <v>2172311285</v>
      </c>
      <c r="C18" s="140">
        <f>39790+(7*364)</f>
        <v>42338</v>
      </c>
      <c r="D18" s="141">
        <f t="shared" ca="1" si="0"/>
        <v>5</v>
      </c>
      <c r="E18" s="142">
        <v>92730</v>
      </c>
      <c r="F18" s="143">
        <v>96171</v>
      </c>
      <c r="G18" s="144">
        <v>5</v>
      </c>
    </row>
    <row r="19" spans="1:7" x14ac:dyDescent="0.35">
      <c r="A19" s="138" t="s">
        <v>22</v>
      </c>
      <c r="B19" s="139">
        <v>2172311286</v>
      </c>
      <c r="C19" s="140">
        <f>34424+(7*364)</f>
        <v>36972</v>
      </c>
      <c r="D19" s="141">
        <f t="shared" ca="1" si="0"/>
        <v>20</v>
      </c>
      <c r="E19" s="142">
        <v>53680</v>
      </c>
      <c r="F19" s="143">
        <v>55671</v>
      </c>
      <c r="G19" s="144">
        <v>4</v>
      </c>
    </row>
    <row r="20" spans="1:7" x14ac:dyDescent="0.35">
      <c r="A20" s="138" t="s">
        <v>23</v>
      </c>
      <c r="B20" s="139">
        <v>2172311287</v>
      </c>
      <c r="C20" s="140">
        <f>34582+(7*364)</f>
        <v>37130</v>
      </c>
      <c r="D20" s="141">
        <f t="shared" ca="1" si="0"/>
        <v>19</v>
      </c>
      <c r="E20" s="142">
        <v>85745</v>
      </c>
      <c r="F20" s="143">
        <v>88926</v>
      </c>
      <c r="G20" s="144">
        <v>1</v>
      </c>
    </row>
    <row r="21" spans="1:7" x14ac:dyDescent="0.35">
      <c r="A21" s="138" t="s">
        <v>24</v>
      </c>
      <c r="B21" s="139">
        <v>2172311288</v>
      </c>
      <c r="C21" s="140">
        <f>34481+(7*364)</f>
        <v>37029</v>
      </c>
      <c r="D21" s="141">
        <f t="shared" ca="1" si="0"/>
        <v>19</v>
      </c>
      <c r="E21" s="142">
        <v>43472</v>
      </c>
      <c r="F21" s="143">
        <v>45085</v>
      </c>
      <c r="G21" s="144">
        <v>5</v>
      </c>
    </row>
    <row r="22" spans="1:7" x14ac:dyDescent="0.35">
      <c r="A22" s="138" t="s">
        <v>25</v>
      </c>
      <c r="B22" s="139">
        <v>2172311289</v>
      </c>
      <c r="C22" s="140">
        <f>38827+(7*364)</f>
        <v>41375</v>
      </c>
      <c r="D22" s="141">
        <f t="shared" ca="1" si="0"/>
        <v>8</v>
      </c>
      <c r="E22" s="142">
        <v>88968</v>
      </c>
      <c r="F22" s="143">
        <v>92269</v>
      </c>
      <c r="G22" s="144">
        <v>5</v>
      </c>
    </row>
    <row r="23" spans="1:7" x14ac:dyDescent="0.35">
      <c r="A23" s="138" t="s">
        <v>26</v>
      </c>
      <c r="B23" s="139">
        <v>2172311290</v>
      </c>
      <c r="C23" s="140">
        <f>32330+(7*364)</f>
        <v>34878</v>
      </c>
      <c r="D23" s="141">
        <f t="shared" ca="1" si="0"/>
        <v>25</v>
      </c>
      <c r="E23" s="142">
        <v>43582</v>
      </c>
      <c r="F23" s="143">
        <v>45199</v>
      </c>
      <c r="G23" s="144">
        <v>2</v>
      </c>
    </row>
    <row r="24" spans="1:7" x14ac:dyDescent="0.35">
      <c r="A24" s="138" t="s">
        <v>27</v>
      </c>
      <c r="B24" s="139">
        <v>2172311291</v>
      </c>
      <c r="C24" s="140">
        <f>34739+(7*364)</f>
        <v>37287</v>
      </c>
      <c r="D24" s="141">
        <f t="shared" ca="1" si="0"/>
        <v>19</v>
      </c>
      <c r="E24" s="142">
        <v>92620</v>
      </c>
      <c r="F24" s="143">
        <v>96056</v>
      </c>
      <c r="G24" s="144">
        <v>2</v>
      </c>
    </row>
    <row r="25" spans="1:7" x14ac:dyDescent="0.35">
      <c r="A25" s="138" t="s">
        <v>28</v>
      </c>
      <c r="B25" s="139">
        <v>2172311292</v>
      </c>
      <c r="C25" s="140">
        <f>33574+(7*364)</f>
        <v>36122</v>
      </c>
      <c r="D25" s="141">
        <f t="shared" ca="1" si="0"/>
        <v>22</v>
      </c>
      <c r="E25" s="142">
        <v>27181</v>
      </c>
      <c r="F25" s="143">
        <v>28190</v>
      </c>
      <c r="G25" s="144">
        <v>3</v>
      </c>
    </row>
    <row r="26" spans="1:7" x14ac:dyDescent="0.35">
      <c r="A26" s="138" t="s">
        <v>29</v>
      </c>
      <c r="B26" s="139">
        <v>2172311293</v>
      </c>
      <c r="C26" s="140">
        <f>35689+(7*364)</f>
        <v>38237</v>
      </c>
      <c r="D26" s="141">
        <f t="shared" ca="1" si="0"/>
        <v>16</v>
      </c>
      <c r="E26" s="142">
        <v>68046</v>
      </c>
      <c r="F26" s="143">
        <v>70571</v>
      </c>
      <c r="G26" s="144">
        <v>5</v>
      </c>
    </row>
    <row r="27" spans="1:7" x14ac:dyDescent="0.35">
      <c r="A27" s="138" t="s">
        <v>30</v>
      </c>
      <c r="B27" s="139">
        <v>2172311294</v>
      </c>
      <c r="C27" s="140">
        <f>33051+(7*364)</f>
        <v>35599</v>
      </c>
      <c r="D27" s="141">
        <f t="shared" ca="1" si="0"/>
        <v>23</v>
      </c>
      <c r="E27" s="142">
        <v>51601</v>
      </c>
      <c r="F27" s="143">
        <v>53515</v>
      </c>
      <c r="G27" s="144">
        <v>1</v>
      </c>
    </row>
    <row r="28" spans="1:7" x14ac:dyDescent="0.35">
      <c r="A28" s="138" t="s">
        <v>31</v>
      </c>
      <c r="B28" s="139">
        <v>2172311295</v>
      </c>
      <c r="C28" s="140">
        <f>37106+(7*364)</f>
        <v>39654</v>
      </c>
      <c r="D28" s="141">
        <f t="shared" ca="1" si="0"/>
        <v>12</v>
      </c>
      <c r="E28" s="142">
        <v>34012</v>
      </c>
      <c r="F28" s="143">
        <v>35274</v>
      </c>
      <c r="G28" s="144">
        <v>4</v>
      </c>
    </row>
    <row r="29" spans="1:7" x14ac:dyDescent="0.35">
      <c r="A29" s="138" t="s">
        <v>32</v>
      </c>
      <c r="B29" s="139">
        <v>2172311296</v>
      </c>
      <c r="C29" s="140">
        <f>36577+(7*364)</f>
        <v>39125</v>
      </c>
      <c r="D29" s="141">
        <f t="shared" ca="1" si="0"/>
        <v>14</v>
      </c>
      <c r="E29" s="142">
        <v>65054</v>
      </c>
      <c r="F29" s="143">
        <v>67467</v>
      </c>
      <c r="G29" s="144">
        <v>5</v>
      </c>
    </row>
    <row r="30" spans="1:7" x14ac:dyDescent="0.35">
      <c r="A30" s="138" t="s">
        <v>33</v>
      </c>
      <c r="B30" s="139">
        <v>2172311297</v>
      </c>
      <c r="C30" s="140">
        <f>35387+(7*364)</f>
        <v>37935</v>
      </c>
      <c r="D30" s="145">
        <f t="shared" ca="1" si="0"/>
        <v>17</v>
      </c>
      <c r="E30" s="142">
        <v>16764</v>
      </c>
      <c r="F30" s="143">
        <v>17386</v>
      </c>
      <c r="G30" s="144">
        <v>5</v>
      </c>
    </row>
    <row r="31" spans="1:7" x14ac:dyDescent="0.35">
      <c r="A31" s="138" t="s">
        <v>34</v>
      </c>
      <c r="B31" s="139">
        <v>2172311298</v>
      </c>
      <c r="C31" s="140">
        <f>35502+(7*364)</f>
        <v>38050</v>
      </c>
      <c r="D31" s="141">
        <f t="shared" ca="1" si="0"/>
        <v>17</v>
      </c>
      <c r="E31" s="142">
        <v>41536</v>
      </c>
      <c r="F31" s="143">
        <v>43077</v>
      </c>
      <c r="G31" s="144">
        <v>2</v>
      </c>
    </row>
    <row r="32" spans="1:7" x14ac:dyDescent="0.35">
      <c r="A32" s="138" t="s">
        <v>35</v>
      </c>
      <c r="B32" s="139">
        <v>2172311299</v>
      </c>
      <c r="C32" s="140">
        <f>35254+(7*364)</f>
        <v>37802</v>
      </c>
      <c r="D32" s="141">
        <f t="shared" ca="1" si="0"/>
        <v>17</v>
      </c>
      <c r="E32" s="142">
        <v>36531</v>
      </c>
      <c r="F32" s="143">
        <v>37886</v>
      </c>
      <c r="G32" s="144">
        <v>3</v>
      </c>
    </row>
    <row r="33" spans="1:7" x14ac:dyDescent="0.35">
      <c r="A33" s="138" t="s">
        <v>36</v>
      </c>
      <c r="B33" s="139">
        <v>2172311300</v>
      </c>
      <c r="C33" s="140">
        <f>34141+(7*364)</f>
        <v>36689</v>
      </c>
      <c r="D33" s="141">
        <f t="shared" ca="1" si="0"/>
        <v>20</v>
      </c>
      <c r="E33" s="142">
        <v>73755</v>
      </c>
      <c r="F33" s="143">
        <v>76492</v>
      </c>
      <c r="G33" s="144">
        <v>3</v>
      </c>
    </row>
    <row r="34" spans="1:7" x14ac:dyDescent="0.35">
      <c r="A34" s="138" t="s">
        <v>37</v>
      </c>
      <c r="B34" s="139">
        <v>2172311301</v>
      </c>
      <c r="C34" s="140">
        <f>39406+(7*364)</f>
        <v>41954</v>
      </c>
      <c r="D34" s="141">
        <f t="shared" ref="D34:D65" ca="1" si="1">DATEDIF(C34,TODAY(),"Y")</f>
        <v>6</v>
      </c>
      <c r="E34" s="142">
        <v>50413</v>
      </c>
      <c r="F34" s="143">
        <v>52283</v>
      </c>
      <c r="G34" s="144">
        <v>1</v>
      </c>
    </row>
    <row r="35" spans="1:7" x14ac:dyDescent="0.35">
      <c r="A35" s="138" t="s">
        <v>38</v>
      </c>
      <c r="B35" s="139">
        <v>2172311302</v>
      </c>
      <c r="C35" s="140">
        <f>35012+(7*364)</f>
        <v>37560</v>
      </c>
      <c r="D35" s="141">
        <f t="shared" ca="1" si="1"/>
        <v>18</v>
      </c>
      <c r="E35" s="142">
        <v>25718</v>
      </c>
      <c r="F35" s="143">
        <v>26672</v>
      </c>
      <c r="G35" s="144">
        <v>4</v>
      </c>
    </row>
    <row r="36" spans="1:7" x14ac:dyDescent="0.35">
      <c r="A36" s="138" t="s">
        <v>39</v>
      </c>
      <c r="B36" s="139">
        <v>2172311303</v>
      </c>
      <c r="C36" s="140">
        <f>38699+(7*364)</f>
        <v>41247</v>
      </c>
      <c r="D36" s="141">
        <f t="shared" ca="1" si="1"/>
        <v>8</v>
      </c>
      <c r="E36" s="142">
        <v>39182</v>
      </c>
      <c r="F36" s="143">
        <v>40636</v>
      </c>
      <c r="G36" s="144">
        <v>1</v>
      </c>
    </row>
    <row r="37" spans="1:7" x14ac:dyDescent="0.35">
      <c r="A37" s="138" t="s">
        <v>40</v>
      </c>
      <c r="B37" s="139">
        <v>2172311304</v>
      </c>
      <c r="C37" s="140">
        <f>33321+(7*364)</f>
        <v>35869</v>
      </c>
      <c r="D37" s="141">
        <f t="shared" ca="1" si="1"/>
        <v>23</v>
      </c>
      <c r="E37" s="142">
        <v>90178</v>
      </c>
      <c r="F37" s="143">
        <v>93523</v>
      </c>
      <c r="G37" s="144">
        <v>5</v>
      </c>
    </row>
    <row r="38" spans="1:7" x14ac:dyDescent="0.35">
      <c r="A38" s="138" t="s">
        <v>41</v>
      </c>
      <c r="B38" s="139">
        <v>2172311305</v>
      </c>
      <c r="C38" s="140">
        <f>32993+(7*364)</f>
        <v>35541</v>
      </c>
      <c r="D38" s="141">
        <f t="shared" ca="1" si="1"/>
        <v>24</v>
      </c>
      <c r="E38" s="142">
        <v>91036</v>
      </c>
      <c r="F38" s="143">
        <v>94413</v>
      </c>
      <c r="G38" s="144">
        <v>3</v>
      </c>
    </row>
    <row r="39" spans="1:7" x14ac:dyDescent="0.35">
      <c r="A39" s="138" t="s">
        <v>42</v>
      </c>
      <c r="B39" s="139">
        <v>2172311306</v>
      </c>
      <c r="C39" s="140">
        <f>35520+(7*364)</f>
        <v>38068</v>
      </c>
      <c r="D39" s="141">
        <f t="shared" ca="1" si="1"/>
        <v>17</v>
      </c>
      <c r="E39" s="142">
        <v>30118</v>
      </c>
      <c r="F39" s="143">
        <v>31236</v>
      </c>
      <c r="G39" s="144">
        <v>2</v>
      </c>
    </row>
    <row r="40" spans="1:7" x14ac:dyDescent="0.35">
      <c r="A40" s="138" t="s">
        <v>43</v>
      </c>
      <c r="B40" s="139">
        <v>2172311307</v>
      </c>
      <c r="C40" s="140">
        <f>36804+(7*364)</f>
        <v>39352</v>
      </c>
      <c r="D40" s="141">
        <f t="shared" ca="1" si="1"/>
        <v>13</v>
      </c>
      <c r="E40" s="142">
        <v>67507</v>
      </c>
      <c r="F40" s="143">
        <v>70012</v>
      </c>
      <c r="G40" s="144">
        <v>4</v>
      </c>
    </row>
    <row r="41" spans="1:7" x14ac:dyDescent="0.35">
      <c r="A41" s="138" t="s">
        <v>44</v>
      </c>
      <c r="B41" s="139">
        <v>2172311308</v>
      </c>
      <c r="C41" s="140">
        <f>34873+(7*364)</f>
        <v>37421</v>
      </c>
      <c r="D41" s="141">
        <f t="shared" ca="1" si="1"/>
        <v>18</v>
      </c>
      <c r="E41" s="142">
        <v>73073</v>
      </c>
      <c r="F41" s="143">
        <v>75785</v>
      </c>
      <c r="G41" s="144">
        <v>3</v>
      </c>
    </row>
    <row r="42" spans="1:7" x14ac:dyDescent="0.35">
      <c r="A42" s="138" t="s">
        <v>45</v>
      </c>
      <c r="B42" s="139">
        <v>2172311309</v>
      </c>
      <c r="C42" s="140">
        <f>32630+(7*364)</f>
        <v>35178</v>
      </c>
      <c r="D42" s="141">
        <f t="shared" ca="1" si="1"/>
        <v>25</v>
      </c>
      <c r="E42" s="142">
        <v>85492</v>
      </c>
      <c r="F42" s="143">
        <v>88663</v>
      </c>
      <c r="G42" s="144">
        <v>4</v>
      </c>
    </row>
    <row r="43" spans="1:7" x14ac:dyDescent="0.35">
      <c r="A43" s="138" t="s">
        <v>46</v>
      </c>
      <c r="B43" s="139">
        <v>2172311310</v>
      </c>
      <c r="C43" s="140">
        <f>34549+(7*364)</f>
        <v>37097</v>
      </c>
      <c r="D43" s="141">
        <f t="shared" ca="1" si="1"/>
        <v>19</v>
      </c>
      <c r="E43" s="142">
        <v>72611</v>
      </c>
      <c r="F43" s="143">
        <v>75305</v>
      </c>
      <c r="G43" s="144">
        <v>3</v>
      </c>
    </row>
    <row r="44" spans="1:7" x14ac:dyDescent="0.35">
      <c r="A44" s="138" t="s">
        <v>47</v>
      </c>
      <c r="B44" s="139">
        <v>2172311311</v>
      </c>
      <c r="C44" s="140">
        <f>38086+(7*364)</f>
        <v>40634</v>
      </c>
      <c r="D44" s="141">
        <f t="shared" ca="1" si="1"/>
        <v>10</v>
      </c>
      <c r="E44" s="142">
        <v>30316</v>
      </c>
      <c r="F44" s="143">
        <v>31440</v>
      </c>
      <c r="G44" s="144">
        <v>1</v>
      </c>
    </row>
    <row r="45" spans="1:7" x14ac:dyDescent="0.35">
      <c r="A45" s="138" t="s">
        <v>48</v>
      </c>
      <c r="B45" s="139">
        <v>2172311312</v>
      </c>
      <c r="C45" s="140">
        <f>37697+(7*364)</f>
        <v>40245</v>
      </c>
      <c r="D45" s="141">
        <f t="shared" ca="1" si="1"/>
        <v>11</v>
      </c>
      <c r="E45" s="142">
        <v>66066</v>
      </c>
      <c r="F45" s="143">
        <v>68517</v>
      </c>
      <c r="G45" s="144">
        <v>4</v>
      </c>
    </row>
    <row r="46" spans="1:7" x14ac:dyDescent="0.35">
      <c r="A46" s="138" t="s">
        <v>49</v>
      </c>
      <c r="B46" s="139">
        <v>2172311313</v>
      </c>
      <c r="C46" s="140">
        <f>36973+(7*364)</f>
        <v>39521</v>
      </c>
      <c r="D46" s="141">
        <f t="shared" ca="1" si="1"/>
        <v>13</v>
      </c>
      <c r="E46" s="142">
        <v>85910</v>
      </c>
      <c r="F46" s="143">
        <v>89098</v>
      </c>
      <c r="G46" s="144">
        <v>5</v>
      </c>
    </row>
    <row r="47" spans="1:7" x14ac:dyDescent="0.35">
      <c r="A47" s="138" t="s">
        <v>50</v>
      </c>
      <c r="B47" s="139">
        <v>2172311314</v>
      </c>
      <c r="C47" s="140">
        <f>34657+(7*364)</f>
        <v>37205</v>
      </c>
      <c r="D47" s="141">
        <f t="shared" ca="1" si="1"/>
        <v>19</v>
      </c>
      <c r="E47" s="142">
        <v>88132</v>
      </c>
      <c r="F47" s="143">
        <v>91401</v>
      </c>
      <c r="G47" s="144">
        <v>5</v>
      </c>
    </row>
    <row r="48" spans="1:7" x14ac:dyDescent="0.35">
      <c r="A48" s="138" t="s">
        <v>51</v>
      </c>
      <c r="B48" s="139">
        <v>2172311315</v>
      </c>
      <c r="C48" s="140">
        <f>33319+(7*364)</f>
        <v>35867</v>
      </c>
      <c r="D48" s="141">
        <f t="shared" ca="1" si="1"/>
        <v>23</v>
      </c>
      <c r="E48" s="142">
        <v>50347</v>
      </c>
      <c r="F48" s="143">
        <v>52215</v>
      </c>
      <c r="G48" s="144">
        <v>1</v>
      </c>
    </row>
    <row r="49" spans="1:7" x14ac:dyDescent="0.35">
      <c r="A49" s="138" t="s">
        <v>52</v>
      </c>
      <c r="B49" s="139">
        <v>2172311316</v>
      </c>
      <c r="C49" s="140">
        <f>35313+(7*364)</f>
        <v>37861</v>
      </c>
      <c r="D49" s="141">
        <f t="shared" ca="1" si="1"/>
        <v>17</v>
      </c>
      <c r="E49" s="142">
        <v>79299</v>
      </c>
      <c r="F49" s="143">
        <v>82242</v>
      </c>
      <c r="G49" s="144">
        <v>5</v>
      </c>
    </row>
    <row r="50" spans="1:7" x14ac:dyDescent="0.35">
      <c r="A50" s="138" t="s">
        <v>53</v>
      </c>
      <c r="B50" s="139">
        <v>2172311317</v>
      </c>
      <c r="C50" s="140">
        <f>34326+(7*364)</f>
        <v>36874</v>
      </c>
      <c r="D50" s="141">
        <f t="shared" ca="1" si="1"/>
        <v>20</v>
      </c>
      <c r="E50" s="142">
        <v>94886</v>
      </c>
      <c r="F50" s="143">
        <v>98406</v>
      </c>
      <c r="G50" s="144">
        <v>1</v>
      </c>
    </row>
    <row r="51" spans="1:7" x14ac:dyDescent="0.35">
      <c r="A51" s="138" t="s">
        <v>54</v>
      </c>
      <c r="B51" s="139">
        <v>2172311318</v>
      </c>
      <c r="C51" s="140">
        <f>35439+(7*364)</f>
        <v>37987</v>
      </c>
      <c r="D51" s="141">
        <f t="shared" ca="1" si="1"/>
        <v>17</v>
      </c>
      <c r="E51" s="142">
        <v>53009</v>
      </c>
      <c r="F51" s="143">
        <v>54976</v>
      </c>
      <c r="G51" s="144">
        <v>2</v>
      </c>
    </row>
    <row r="52" spans="1:7" x14ac:dyDescent="0.35">
      <c r="A52" s="138" t="s">
        <v>55</v>
      </c>
      <c r="B52" s="139">
        <v>2172311319</v>
      </c>
      <c r="C52" s="140">
        <f>39748+(7*364)</f>
        <v>42296</v>
      </c>
      <c r="D52" s="141">
        <f t="shared" ca="1" si="1"/>
        <v>5</v>
      </c>
      <c r="E52" s="142">
        <v>48202</v>
      </c>
      <c r="F52" s="143">
        <v>49991</v>
      </c>
      <c r="G52" s="144">
        <v>2</v>
      </c>
    </row>
    <row r="53" spans="1:7" x14ac:dyDescent="0.35">
      <c r="A53" s="138" t="s">
        <v>56</v>
      </c>
      <c r="B53" s="139">
        <v>2172311320</v>
      </c>
      <c r="C53" s="140">
        <f>34264+(7*364)</f>
        <v>36812</v>
      </c>
      <c r="D53" s="141">
        <f t="shared" ca="1" si="1"/>
        <v>20</v>
      </c>
      <c r="E53" s="142">
        <v>67263</v>
      </c>
      <c r="F53" s="143">
        <v>69759</v>
      </c>
      <c r="G53" s="144">
        <v>1</v>
      </c>
    </row>
    <row r="54" spans="1:7" x14ac:dyDescent="0.35">
      <c r="A54" s="138" t="s">
        <v>57</v>
      </c>
      <c r="B54" s="139">
        <v>2172311321</v>
      </c>
      <c r="C54" s="140">
        <f>35443+(7*364)</f>
        <v>37991</v>
      </c>
      <c r="D54" s="141">
        <f t="shared" ca="1" si="1"/>
        <v>17</v>
      </c>
      <c r="E54" s="142">
        <v>67463</v>
      </c>
      <c r="F54" s="143">
        <v>69966</v>
      </c>
      <c r="G54" s="144">
        <v>1</v>
      </c>
    </row>
    <row r="55" spans="1:7" x14ac:dyDescent="0.35">
      <c r="A55" s="138" t="s">
        <v>58</v>
      </c>
      <c r="B55" s="139">
        <v>2172311322</v>
      </c>
      <c r="C55" s="140">
        <f>36640+(7*364)</f>
        <v>39188</v>
      </c>
      <c r="D55" s="141">
        <f t="shared" ca="1" si="1"/>
        <v>14</v>
      </c>
      <c r="E55" s="142">
        <v>37191</v>
      </c>
      <c r="F55" s="143">
        <v>38570</v>
      </c>
      <c r="G55" s="144">
        <v>2</v>
      </c>
    </row>
    <row r="56" spans="1:7" x14ac:dyDescent="0.35">
      <c r="A56" s="138" t="s">
        <v>59</v>
      </c>
      <c r="B56" s="139">
        <v>2172311323</v>
      </c>
      <c r="C56" s="140">
        <f>32644+(7*364)</f>
        <v>35192</v>
      </c>
      <c r="D56" s="141">
        <f t="shared" ca="1" si="1"/>
        <v>24</v>
      </c>
      <c r="E56" s="142">
        <v>33490</v>
      </c>
      <c r="F56" s="143">
        <v>34733</v>
      </c>
      <c r="G56" s="144">
        <v>3</v>
      </c>
    </row>
    <row r="57" spans="1:7" x14ac:dyDescent="0.35">
      <c r="A57" s="138" t="s">
        <v>60</v>
      </c>
      <c r="B57" s="139">
        <v>2172311324</v>
      </c>
      <c r="C57" s="140">
        <f>39093+(7*364)</f>
        <v>41641</v>
      </c>
      <c r="D57" s="141">
        <f t="shared" ca="1" si="1"/>
        <v>7</v>
      </c>
      <c r="E57" s="142">
        <v>84084</v>
      </c>
      <c r="F57" s="143">
        <v>87204</v>
      </c>
      <c r="G57" s="144">
        <v>2</v>
      </c>
    </row>
    <row r="58" spans="1:7" x14ac:dyDescent="0.35">
      <c r="A58" s="138" t="s">
        <v>61</v>
      </c>
      <c r="B58" s="139">
        <v>2172311325</v>
      </c>
      <c r="C58" s="140">
        <f>36188+(7*364)</f>
        <v>38736</v>
      </c>
      <c r="D58" s="141">
        <f t="shared" ca="1" si="1"/>
        <v>15</v>
      </c>
      <c r="E58" s="142">
        <v>31515</v>
      </c>
      <c r="F58" s="143">
        <v>32684</v>
      </c>
      <c r="G58" s="144">
        <v>4</v>
      </c>
    </row>
    <row r="59" spans="1:7" x14ac:dyDescent="0.35">
      <c r="A59" s="138" t="s">
        <v>62</v>
      </c>
      <c r="B59" s="139">
        <v>2172311326</v>
      </c>
      <c r="C59" s="140">
        <f>32353+(7*364)</f>
        <v>34901</v>
      </c>
      <c r="D59" s="141">
        <f t="shared" ca="1" si="1"/>
        <v>25</v>
      </c>
      <c r="E59" s="142">
        <v>16183</v>
      </c>
      <c r="F59" s="143">
        <v>16784</v>
      </c>
      <c r="G59" s="144">
        <v>3</v>
      </c>
    </row>
    <row r="60" spans="1:7" x14ac:dyDescent="0.35">
      <c r="A60" s="138" t="s">
        <v>63</v>
      </c>
      <c r="B60" s="139">
        <v>2172311327</v>
      </c>
      <c r="C60" s="140">
        <f>33336+(7*364)</f>
        <v>35884</v>
      </c>
      <c r="D60" s="141">
        <f t="shared" ca="1" si="1"/>
        <v>23</v>
      </c>
      <c r="E60" s="142">
        <v>29579</v>
      </c>
      <c r="F60" s="143">
        <v>30677</v>
      </c>
      <c r="G60" s="144">
        <v>4</v>
      </c>
    </row>
    <row r="61" spans="1:7" x14ac:dyDescent="0.35">
      <c r="A61" s="138" t="s">
        <v>64</v>
      </c>
      <c r="B61" s="139">
        <v>2172311328</v>
      </c>
      <c r="C61" s="140">
        <f>34530+(7*364)</f>
        <v>37078</v>
      </c>
      <c r="D61" s="141">
        <f t="shared" ca="1" si="1"/>
        <v>19</v>
      </c>
      <c r="E61" s="142">
        <v>31086</v>
      </c>
      <c r="F61" s="143">
        <v>32239</v>
      </c>
      <c r="G61" s="144">
        <v>3</v>
      </c>
    </row>
    <row r="62" spans="1:7" x14ac:dyDescent="0.35">
      <c r="A62" s="138" t="s">
        <v>65</v>
      </c>
      <c r="B62" s="139">
        <v>2172311329</v>
      </c>
      <c r="C62" s="140">
        <f>35488+(7*364)</f>
        <v>38036</v>
      </c>
      <c r="D62" s="141">
        <f t="shared" ca="1" si="1"/>
        <v>17</v>
      </c>
      <c r="E62" s="142">
        <v>75625</v>
      </c>
      <c r="F62" s="143">
        <v>78431</v>
      </c>
      <c r="G62" s="144">
        <v>5</v>
      </c>
    </row>
    <row r="63" spans="1:7" x14ac:dyDescent="0.35">
      <c r="A63" s="138" t="s">
        <v>66</v>
      </c>
      <c r="B63" s="139">
        <v>2172311330</v>
      </c>
      <c r="C63" s="140">
        <f>33065+(7*364)</f>
        <v>35613</v>
      </c>
      <c r="D63" s="141">
        <f t="shared" ca="1" si="1"/>
        <v>23</v>
      </c>
      <c r="E63" s="142">
        <v>78837</v>
      </c>
      <c r="F63" s="143">
        <v>81762</v>
      </c>
      <c r="G63" s="144">
        <v>3</v>
      </c>
    </row>
    <row r="64" spans="1:7" x14ac:dyDescent="0.35">
      <c r="A64" s="138" t="s">
        <v>67</v>
      </c>
      <c r="B64" s="139">
        <v>2172311331</v>
      </c>
      <c r="C64" s="140">
        <f>34971+(7*364)</f>
        <v>37519</v>
      </c>
      <c r="D64" s="141">
        <f t="shared" ca="1" si="1"/>
        <v>18</v>
      </c>
      <c r="E64" s="142">
        <v>86427</v>
      </c>
      <c r="F64" s="143">
        <v>89634</v>
      </c>
      <c r="G64" s="144">
        <v>1</v>
      </c>
    </row>
    <row r="65" spans="1:7" x14ac:dyDescent="0.35">
      <c r="A65" s="138" t="s">
        <v>68</v>
      </c>
      <c r="B65" s="139">
        <v>2172311332</v>
      </c>
      <c r="C65" s="140">
        <f>35868+(7*364)</f>
        <v>38416</v>
      </c>
      <c r="D65" s="141">
        <f t="shared" ca="1" si="1"/>
        <v>16</v>
      </c>
      <c r="E65" s="142">
        <v>26015</v>
      </c>
      <c r="F65" s="143">
        <v>26980</v>
      </c>
      <c r="G65" s="144">
        <v>3</v>
      </c>
    </row>
    <row r="66" spans="1:7" x14ac:dyDescent="0.35">
      <c r="A66" s="138" t="s">
        <v>69</v>
      </c>
      <c r="B66" s="139">
        <v>2172311333</v>
      </c>
      <c r="C66" s="140">
        <f>35129+(7*364)</f>
        <v>37677</v>
      </c>
      <c r="D66" s="141">
        <f t="shared" ref="D66:D97" ca="1" si="2">DATEDIF(C66,TODAY(),"Y")</f>
        <v>18</v>
      </c>
      <c r="E66" s="142">
        <v>70917</v>
      </c>
      <c r="F66" s="143">
        <v>73548</v>
      </c>
      <c r="G66" s="144">
        <v>2</v>
      </c>
    </row>
    <row r="67" spans="1:7" x14ac:dyDescent="0.35">
      <c r="A67" s="138" t="s">
        <v>70</v>
      </c>
      <c r="B67" s="139">
        <v>2172311334</v>
      </c>
      <c r="C67" s="140">
        <f>33256+(7*364)</f>
        <v>35804</v>
      </c>
      <c r="D67" s="141">
        <f t="shared" ca="1" si="2"/>
        <v>23</v>
      </c>
      <c r="E67" s="142">
        <v>35024</v>
      </c>
      <c r="F67" s="143">
        <v>36323</v>
      </c>
      <c r="G67" s="144">
        <v>4</v>
      </c>
    </row>
    <row r="68" spans="1:7" x14ac:dyDescent="0.35">
      <c r="A68" s="138" t="s">
        <v>71</v>
      </c>
      <c r="B68" s="139">
        <v>2172311335</v>
      </c>
      <c r="C68" s="140">
        <f>32683+(7*364)</f>
        <v>35231</v>
      </c>
      <c r="D68" s="141">
        <f t="shared" ca="1" si="2"/>
        <v>24</v>
      </c>
      <c r="E68" s="142">
        <v>49016</v>
      </c>
      <c r="F68" s="143">
        <v>50834</v>
      </c>
      <c r="G68" s="144">
        <v>1</v>
      </c>
    </row>
    <row r="69" spans="1:7" x14ac:dyDescent="0.35">
      <c r="A69" s="138" t="s">
        <v>72</v>
      </c>
      <c r="B69" s="139">
        <v>2172311336</v>
      </c>
      <c r="C69" s="140">
        <f>35530+(7*364)</f>
        <v>38078</v>
      </c>
      <c r="D69" s="141">
        <f t="shared" ca="1" si="2"/>
        <v>17</v>
      </c>
      <c r="E69" s="142">
        <v>12172</v>
      </c>
      <c r="F69" s="143">
        <v>12624</v>
      </c>
      <c r="G69" s="144">
        <v>2</v>
      </c>
    </row>
    <row r="70" spans="1:7" x14ac:dyDescent="0.35">
      <c r="A70" s="138" t="s">
        <v>73</v>
      </c>
      <c r="B70" s="139">
        <v>2172311337</v>
      </c>
      <c r="C70" s="140">
        <f>37666+(7*364)</f>
        <v>40214</v>
      </c>
      <c r="D70" s="141">
        <f t="shared" ca="1" si="2"/>
        <v>11</v>
      </c>
      <c r="E70" s="142">
        <v>63272</v>
      </c>
      <c r="F70" s="143">
        <v>65619</v>
      </c>
      <c r="G70" s="144">
        <v>3</v>
      </c>
    </row>
    <row r="71" spans="1:7" x14ac:dyDescent="0.35">
      <c r="A71" s="138" t="s">
        <v>74</v>
      </c>
      <c r="B71" s="139">
        <v>2172311338</v>
      </c>
      <c r="C71" s="140">
        <f>35673+(7*364)</f>
        <v>38221</v>
      </c>
      <c r="D71" s="141">
        <f t="shared" ca="1" si="2"/>
        <v>16</v>
      </c>
      <c r="E71" s="142">
        <v>45777</v>
      </c>
      <c r="F71" s="143">
        <v>47475</v>
      </c>
      <c r="G71" s="144">
        <v>3</v>
      </c>
    </row>
    <row r="72" spans="1:7" x14ac:dyDescent="0.35">
      <c r="A72" s="138" t="s">
        <v>75</v>
      </c>
      <c r="B72" s="139">
        <v>2172311339</v>
      </c>
      <c r="C72" s="140">
        <f>34002+(7*364)</f>
        <v>36550</v>
      </c>
      <c r="D72" s="141">
        <f t="shared" ca="1" si="2"/>
        <v>21</v>
      </c>
      <c r="E72" s="142">
        <v>35101</v>
      </c>
      <c r="F72" s="143">
        <v>36403</v>
      </c>
      <c r="G72" s="144">
        <v>3</v>
      </c>
    </row>
    <row r="73" spans="1:7" x14ac:dyDescent="0.35">
      <c r="A73" s="138" t="s">
        <v>76</v>
      </c>
      <c r="B73" s="139">
        <v>2172311340</v>
      </c>
      <c r="C73" s="140">
        <f>32519+(7*364)</f>
        <v>35067</v>
      </c>
      <c r="D73" s="141">
        <f t="shared" ca="1" si="2"/>
        <v>25</v>
      </c>
      <c r="E73" s="142">
        <v>17617</v>
      </c>
      <c r="F73" s="143">
        <v>18270</v>
      </c>
      <c r="G73" s="144">
        <v>4</v>
      </c>
    </row>
    <row r="74" spans="1:7" x14ac:dyDescent="0.35">
      <c r="A74" s="138" t="s">
        <v>77</v>
      </c>
      <c r="B74" s="139">
        <v>2172311341</v>
      </c>
      <c r="C74" s="140">
        <f>39433+(7*364)</f>
        <v>41981</v>
      </c>
      <c r="D74" s="141">
        <f t="shared" ca="1" si="2"/>
        <v>6</v>
      </c>
      <c r="E74" s="142">
        <v>78309</v>
      </c>
      <c r="F74" s="143">
        <v>81214</v>
      </c>
      <c r="G74" s="144">
        <v>2</v>
      </c>
    </row>
    <row r="75" spans="1:7" x14ac:dyDescent="0.35">
      <c r="A75" s="138" t="s">
        <v>78</v>
      </c>
      <c r="B75" s="139">
        <v>2172311342</v>
      </c>
      <c r="C75" s="140">
        <f>33164+(7*364)</f>
        <v>35712</v>
      </c>
      <c r="D75" s="141">
        <f t="shared" ca="1" si="2"/>
        <v>23</v>
      </c>
      <c r="E75" s="142">
        <v>20521</v>
      </c>
      <c r="F75" s="143">
        <v>21282</v>
      </c>
      <c r="G75" s="144">
        <v>3</v>
      </c>
    </row>
    <row r="76" spans="1:7" x14ac:dyDescent="0.35">
      <c r="A76" s="138" t="s">
        <v>79</v>
      </c>
      <c r="B76" s="139">
        <v>2172311343</v>
      </c>
      <c r="C76" s="140">
        <f>32956+(7*364)</f>
        <v>35504</v>
      </c>
      <c r="D76" s="141">
        <f t="shared" ca="1" si="2"/>
        <v>24</v>
      </c>
      <c r="E76" s="142">
        <v>78265</v>
      </c>
      <c r="F76" s="143">
        <v>81169</v>
      </c>
      <c r="G76" s="144">
        <v>4</v>
      </c>
    </row>
    <row r="77" spans="1:7" x14ac:dyDescent="0.35">
      <c r="A77" s="138" t="s">
        <v>80</v>
      </c>
      <c r="B77" s="139">
        <v>2172311344</v>
      </c>
      <c r="C77" s="140">
        <f>32282+(7*364)</f>
        <v>34830</v>
      </c>
      <c r="D77" s="141">
        <f t="shared" ca="1" si="2"/>
        <v>25</v>
      </c>
      <c r="E77" s="142">
        <v>27297</v>
      </c>
      <c r="F77" s="143">
        <v>28310</v>
      </c>
      <c r="G77" s="144">
        <v>5</v>
      </c>
    </row>
    <row r="78" spans="1:7" x14ac:dyDescent="0.35">
      <c r="A78" s="138" t="s">
        <v>81</v>
      </c>
      <c r="B78" s="139">
        <v>2172311345</v>
      </c>
      <c r="C78" s="140">
        <f>33787+(7*364)</f>
        <v>36335</v>
      </c>
      <c r="D78" s="141">
        <f t="shared" ca="1" si="2"/>
        <v>21</v>
      </c>
      <c r="E78" s="142">
        <v>14779</v>
      </c>
      <c r="F78" s="143">
        <v>15326</v>
      </c>
      <c r="G78" s="144">
        <v>2</v>
      </c>
    </row>
    <row r="79" spans="1:7" x14ac:dyDescent="0.35">
      <c r="A79" s="138" t="s">
        <v>82</v>
      </c>
      <c r="B79" s="139">
        <v>2172311346</v>
      </c>
      <c r="C79" s="140">
        <f>36147+(7*364)</f>
        <v>38695</v>
      </c>
      <c r="D79" s="141">
        <f t="shared" ca="1" si="2"/>
        <v>15</v>
      </c>
      <c r="E79" s="142">
        <v>75361</v>
      </c>
      <c r="F79" s="143">
        <v>78157</v>
      </c>
      <c r="G79" s="144">
        <v>1</v>
      </c>
    </row>
    <row r="80" spans="1:7" x14ac:dyDescent="0.35">
      <c r="A80" s="138" t="s">
        <v>83</v>
      </c>
      <c r="B80" s="139">
        <v>2172311347</v>
      </c>
      <c r="C80" s="140">
        <f>34844+(7*364)</f>
        <v>37392</v>
      </c>
      <c r="D80" s="141">
        <f t="shared" ca="1" si="2"/>
        <v>18</v>
      </c>
      <c r="E80" s="142">
        <v>22031</v>
      </c>
      <c r="F80" s="143">
        <v>22848</v>
      </c>
      <c r="G80" s="144">
        <v>2</v>
      </c>
    </row>
    <row r="81" spans="1:7" x14ac:dyDescent="0.35">
      <c r="A81" s="138" t="s">
        <v>84</v>
      </c>
      <c r="B81" s="139">
        <v>2172311348</v>
      </c>
      <c r="C81" s="140">
        <f>38715+(7*364)</f>
        <v>41263</v>
      </c>
      <c r="D81" s="141">
        <f t="shared" ca="1" si="2"/>
        <v>8</v>
      </c>
      <c r="E81" s="142">
        <v>92587</v>
      </c>
      <c r="F81" s="143">
        <v>96022</v>
      </c>
      <c r="G81" s="144">
        <v>1</v>
      </c>
    </row>
    <row r="82" spans="1:7" x14ac:dyDescent="0.35">
      <c r="A82" s="138" t="s">
        <v>85</v>
      </c>
      <c r="B82" s="139">
        <v>2172311349</v>
      </c>
      <c r="C82" s="140">
        <f>34698+(7*364)</f>
        <v>37246</v>
      </c>
      <c r="D82" s="141">
        <f t="shared" ca="1" si="2"/>
        <v>19</v>
      </c>
      <c r="E82" s="142">
        <v>69597</v>
      </c>
      <c r="F82" s="143">
        <v>72179</v>
      </c>
      <c r="G82" s="144">
        <v>1</v>
      </c>
    </row>
    <row r="83" spans="1:7" x14ac:dyDescent="0.35">
      <c r="A83" s="138" t="s">
        <v>86</v>
      </c>
      <c r="B83" s="139">
        <v>2172311350</v>
      </c>
      <c r="C83" s="140">
        <f>34999+(7*364)</f>
        <v>37547</v>
      </c>
      <c r="D83" s="141">
        <f t="shared" ca="1" si="2"/>
        <v>18</v>
      </c>
      <c r="E83" s="142">
        <v>32094</v>
      </c>
      <c r="F83" s="143">
        <v>33284</v>
      </c>
      <c r="G83" s="144">
        <v>5</v>
      </c>
    </row>
    <row r="84" spans="1:7" x14ac:dyDescent="0.35">
      <c r="A84" s="138" t="s">
        <v>87</v>
      </c>
      <c r="B84" s="139">
        <v>2172311351</v>
      </c>
      <c r="C84" s="140">
        <f>39483+(7*364)</f>
        <v>42031</v>
      </c>
      <c r="D84" s="141">
        <f t="shared" ca="1" si="2"/>
        <v>6</v>
      </c>
      <c r="E84" s="142">
        <v>30232</v>
      </c>
      <c r="F84" s="143">
        <v>31354</v>
      </c>
      <c r="G84" s="144">
        <v>2</v>
      </c>
    </row>
    <row r="85" spans="1:7" x14ac:dyDescent="0.35">
      <c r="A85" s="138" t="s">
        <v>88</v>
      </c>
      <c r="B85" s="139">
        <v>2172311352</v>
      </c>
      <c r="C85" s="140">
        <f>32450+(7*364)</f>
        <v>34998</v>
      </c>
      <c r="D85" s="141">
        <f t="shared" ca="1" si="2"/>
        <v>25</v>
      </c>
      <c r="E85" s="142">
        <v>96745</v>
      </c>
      <c r="F85" s="143">
        <v>100334</v>
      </c>
      <c r="G85" s="144">
        <v>4</v>
      </c>
    </row>
    <row r="86" spans="1:7" x14ac:dyDescent="0.35">
      <c r="A86" s="138" t="s">
        <v>89</v>
      </c>
      <c r="B86" s="139">
        <v>2172311353</v>
      </c>
      <c r="C86" s="140">
        <f>34045+(7*364)</f>
        <v>36593</v>
      </c>
      <c r="D86" s="141">
        <f t="shared" ca="1" si="2"/>
        <v>21</v>
      </c>
      <c r="E86" s="142">
        <v>73612</v>
      </c>
      <c r="F86" s="143">
        <v>76343</v>
      </c>
      <c r="G86" s="144">
        <v>1</v>
      </c>
    </row>
    <row r="87" spans="1:7" x14ac:dyDescent="0.35">
      <c r="A87" s="138" t="s">
        <v>90</v>
      </c>
      <c r="B87" s="139">
        <v>2172311354</v>
      </c>
      <c r="C87" s="140">
        <f>32848+(7*364)</f>
        <v>35396</v>
      </c>
      <c r="D87" s="141">
        <f t="shared" ca="1" si="2"/>
        <v>24</v>
      </c>
      <c r="E87" s="142">
        <v>70906</v>
      </c>
      <c r="F87" s="143">
        <v>73536</v>
      </c>
      <c r="G87" s="144">
        <v>2</v>
      </c>
    </row>
    <row r="88" spans="1:7" x14ac:dyDescent="0.35">
      <c r="A88" s="138" t="s">
        <v>91</v>
      </c>
      <c r="B88" s="139">
        <v>2172311355</v>
      </c>
      <c r="C88" s="140">
        <f>35142+(7*364)</f>
        <v>37690</v>
      </c>
      <c r="D88" s="141">
        <f t="shared" ca="1" si="2"/>
        <v>18</v>
      </c>
      <c r="E88" s="142">
        <v>78881</v>
      </c>
      <c r="F88" s="143">
        <v>81807</v>
      </c>
      <c r="G88" s="144">
        <v>3</v>
      </c>
    </row>
    <row r="89" spans="1:7" x14ac:dyDescent="0.35">
      <c r="A89" s="138" t="s">
        <v>92</v>
      </c>
      <c r="B89" s="139">
        <v>2172311356</v>
      </c>
      <c r="C89" s="140">
        <f>36574+(7*364)</f>
        <v>39122</v>
      </c>
      <c r="D89" s="141">
        <f t="shared" ca="1" si="2"/>
        <v>14</v>
      </c>
      <c r="E89" s="142">
        <v>33858</v>
      </c>
      <c r="F89" s="143">
        <v>35114</v>
      </c>
      <c r="G89" s="144">
        <v>1</v>
      </c>
    </row>
    <row r="90" spans="1:7" x14ac:dyDescent="0.35">
      <c r="A90" s="138" t="s">
        <v>93</v>
      </c>
      <c r="B90" s="139">
        <v>2172311357</v>
      </c>
      <c r="C90" s="140">
        <f>34071+(7*364)</f>
        <v>36619</v>
      </c>
      <c r="D90" s="141">
        <f t="shared" ca="1" si="2"/>
        <v>21</v>
      </c>
      <c r="E90" s="142">
        <v>28413</v>
      </c>
      <c r="F90" s="143">
        <v>29467</v>
      </c>
      <c r="G90" s="144">
        <v>5</v>
      </c>
    </row>
    <row r="91" spans="1:7" x14ac:dyDescent="0.35">
      <c r="A91" s="138" t="s">
        <v>94</v>
      </c>
      <c r="B91" s="139">
        <v>2172311358</v>
      </c>
      <c r="C91" s="140">
        <f>39322+(7*364)</f>
        <v>41870</v>
      </c>
      <c r="D91" s="141">
        <f t="shared" ca="1" si="2"/>
        <v>6</v>
      </c>
      <c r="E91" s="142">
        <v>31548</v>
      </c>
      <c r="F91" s="143">
        <v>32718</v>
      </c>
      <c r="G91" s="144">
        <v>3</v>
      </c>
    </row>
    <row r="92" spans="1:7" x14ac:dyDescent="0.35">
      <c r="A92" s="138" t="s">
        <v>95</v>
      </c>
      <c r="B92" s="139">
        <v>2172311359</v>
      </c>
      <c r="C92" s="140">
        <f>37243+(7*364)</f>
        <v>39791</v>
      </c>
      <c r="D92" s="141">
        <f t="shared" ca="1" si="2"/>
        <v>12</v>
      </c>
      <c r="E92" s="142">
        <v>43230</v>
      </c>
      <c r="F92" s="143">
        <v>44834</v>
      </c>
      <c r="G92" s="144">
        <v>4</v>
      </c>
    </row>
    <row r="93" spans="1:7" x14ac:dyDescent="0.35">
      <c r="A93" s="138" t="s">
        <v>96</v>
      </c>
      <c r="B93" s="139">
        <v>2172311360</v>
      </c>
      <c r="C93" s="140">
        <f>(34977+(7*364))+(7*364)</f>
        <v>40073</v>
      </c>
      <c r="D93" s="141">
        <f t="shared" ca="1" si="2"/>
        <v>11</v>
      </c>
      <c r="E93" s="142">
        <v>53719</v>
      </c>
      <c r="F93" s="143">
        <v>55712</v>
      </c>
      <c r="G93" s="144">
        <v>3</v>
      </c>
    </row>
    <row r="94" spans="1:7" x14ac:dyDescent="0.35">
      <c r="A94" s="138" t="s">
        <v>97</v>
      </c>
      <c r="B94" s="139">
        <v>2172311361</v>
      </c>
      <c r="C94" s="140">
        <f>32891+(7*364)</f>
        <v>35439</v>
      </c>
      <c r="D94" s="141">
        <f t="shared" ca="1" si="2"/>
        <v>24</v>
      </c>
      <c r="E94" s="142">
        <v>28809</v>
      </c>
      <c r="F94" s="143">
        <v>29878</v>
      </c>
      <c r="G94" s="144">
        <v>4</v>
      </c>
    </row>
    <row r="95" spans="1:7" x14ac:dyDescent="0.35">
      <c r="A95" s="138" t="s">
        <v>98</v>
      </c>
      <c r="B95" s="139">
        <v>2172311362</v>
      </c>
      <c r="C95" s="140">
        <f>35807+(7*364)</f>
        <v>38355</v>
      </c>
      <c r="D95" s="141">
        <f t="shared" ca="1" si="2"/>
        <v>16</v>
      </c>
      <c r="E95" s="142">
        <v>63360</v>
      </c>
      <c r="F95" s="143">
        <v>65711</v>
      </c>
      <c r="G95" s="144">
        <v>5</v>
      </c>
    </row>
    <row r="96" spans="1:7" x14ac:dyDescent="0.35">
      <c r="A96" s="138" t="s">
        <v>99</v>
      </c>
      <c r="B96" s="139">
        <v>2172311363</v>
      </c>
      <c r="C96" s="140">
        <f>35091+(7*364)</f>
        <v>37639</v>
      </c>
      <c r="D96" s="141">
        <f t="shared" ca="1" si="2"/>
        <v>18</v>
      </c>
      <c r="E96" s="142">
        <v>69663</v>
      </c>
      <c r="F96" s="143">
        <v>72248</v>
      </c>
      <c r="G96" s="144">
        <v>1</v>
      </c>
    </row>
    <row r="97" spans="1:7" x14ac:dyDescent="0.35">
      <c r="A97" s="138" t="s">
        <v>100</v>
      </c>
      <c r="B97" s="139">
        <v>2172311364</v>
      </c>
      <c r="C97" s="140">
        <f>38953+(7*364)</f>
        <v>41501</v>
      </c>
      <c r="D97" s="141">
        <f t="shared" ca="1" si="2"/>
        <v>7</v>
      </c>
      <c r="E97" s="142">
        <v>59400</v>
      </c>
      <c r="F97" s="143">
        <v>61603</v>
      </c>
      <c r="G97" s="144">
        <v>1</v>
      </c>
    </row>
    <row r="98" spans="1:7" x14ac:dyDescent="0.35">
      <c r="A98" s="138" t="s">
        <v>101</v>
      </c>
      <c r="B98" s="139">
        <v>2172311365</v>
      </c>
      <c r="C98" s="140">
        <f>34289+(7*364)</f>
        <v>36837</v>
      </c>
      <c r="D98" s="141">
        <f t="shared" ref="D98:D100" ca="1" si="3">DATEDIF(C98,TODAY(),"Y")</f>
        <v>20</v>
      </c>
      <c r="E98" s="142">
        <v>70829</v>
      </c>
      <c r="F98" s="143">
        <v>73457</v>
      </c>
      <c r="G98" s="144">
        <v>5</v>
      </c>
    </row>
    <row r="99" spans="1:7" x14ac:dyDescent="0.35">
      <c r="A99" s="138" t="s">
        <v>102</v>
      </c>
      <c r="B99" s="139">
        <v>2172311366</v>
      </c>
      <c r="C99" s="140">
        <f>38518+(7*364)</f>
        <v>41066</v>
      </c>
      <c r="D99" s="141">
        <f t="shared" ca="1" si="3"/>
        <v>8</v>
      </c>
      <c r="E99" s="142">
        <v>50842</v>
      </c>
      <c r="F99" s="143">
        <v>52729</v>
      </c>
      <c r="G99" s="144">
        <v>1</v>
      </c>
    </row>
    <row r="100" spans="1:7" x14ac:dyDescent="0.35">
      <c r="A100" s="138" t="s">
        <v>103</v>
      </c>
      <c r="B100" s="139">
        <v>2172311367</v>
      </c>
      <c r="C100" s="140">
        <f>39379+(7*364)</f>
        <v>41927</v>
      </c>
      <c r="D100" s="141">
        <f t="shared" ca="1" si="3"/>
        <v>6</v>
      </c>
      <c r="E100" s="142">
        <v>49786</v>
      </c>
      <c r="F100" s="143">
        <v>51633</v>
      </c>
      <c r="G100" s="144">
        <v>3</v>
      </c>
    </row>
    <row r="101" spans="1:7" x14ac:dyDescent="0.35">
      <c r="B101" s="58"/>
      <c r="D101" s="53"/>
      <c r="E101" s="54"/>
      <c r="G101" s="56"/>
    </row>
    <row r="102" spans="1:7" x14ac:dyDescent="0.35">
      <c r="B102" s="58"/>
      <c r="D102" s="53"/>
      <c r="E102" s="54"/>
      <c r="G102" s="56"/>
    </row>
    <row r="103" spans="1:7" x14ac:dyDescent="0.35">
      <c r="B103" s="58"/>
      <c r="D103" s="53"/>
      <c r="E103" s="54"/>
      <c r="G103" s="56"/>
    </row>
    <row r="104" spans="1:7" x14ac:dyDescent="0.35">
      <c r="B104" s="58"/>
      <c r="D104" s="53"/>
      <c r="E104" s="54"/>
      <c r="G104" s="56"/>
    </row>
    <row r="105" spans="1:7" x14ac:dyDescent="0.35">
      <c r="B105" s="58"/>
      <c r="D105" s="53"/>
      <c r="E105" s="54"/>
      <c r="G105" s="56"/>
    </row>
    <row r="106" spans="1:7" x14ac:dyDescent="0.35">
      <c r="B106" s="58"/>
      <c r="D106" s="53"/>
      <c r="E106" s="54"/>
      <c r="G106" s="56"/>
    </row>
    <row r="107" spans="1:7" x14ac:dyDescent="0.35">
      <c r="B107" s="58"/>
      <c r="D107" s="53"/>
      <c r="E107" s="54"/>
      <c r="G107" s="56"/>
    </row>
    <row r="108" spans="1:7" x14ac:dyDescent="0.35">
      <c r="B108" s="58"/>
      <c r="D108" s="53"/>
      <c r="E108" s="54"/>
      <c r="G108" s="56"/>
    </row>
    <row r="109" spans="1:7" x14ac:dyDescent="0.35">
      <c r="B109" s="58"/>
      <c r="D109" s="53"/>
      <c r="E109" s="54"/>
      <c r="G109" s="56"/>
    </row>
    <row r="110" spans="1:7" x14ac:dyDescent="0.35">
      <c r="B110" s="58"/>
      <c r="D110" s="53"/>
      <c r="E110" s="54"/>
      <c r="G110" s="56"/>
    </row>
    <row r="111" spans="1:7" x14ac:dyDescent="0.35">
      <c r="B111" s="58"/>
      <c r="D111" s="53"/>
      <c r="E111" s="54"/>
      <c r="G111" s="56"/>
    </row>
    <row r="112" spans="1:7" x14ac:dyDescent="0.35">
      <c r="B112" s="58"/>
      <c r="D112" s="53"/>
      <c r="E112" s="54"/>
      <c r="G112" s="56"/>
    </row>
    <row r="113" spans="2:7" x14ac:dyDescent="0.35">
      <c r="B113" s="58"/>
      <c r="D113" s="53"/>
      <c r="E113" s="54"/>
      <c r="G113" s="56"/>
    </row>
    <row r="114" spans="2:7" x14ac:dyDescent="0.35">
      <c r="B114" s="58"/>
      <c r="D114" s="53"/>
      <c r="E114" s="54"/>
      <c r="G114" s="56"/>
    </row>
    <row r="115" spans="2:7" x14ac:dyDescent="0.35">
      <c r="B115" s="58"/>
      <c r="D115" s="53"/>
      <c r="E115" s="54"/>
      <c r="G115" s="56"/>
    </row>
    <row r="116" spans="2:7" x14ac:dyDescent="0.35">
      <c r="B116" s="58"/>
      <c r="D116" s="53"/>
      <c r="E116" s="54"/>
      <c r="G116" s="56"/>
    </row>
    <row r="117" spans="2:7" x14ac:dyDescent="0.35">
      <c r="B117" s="58"/>
      <c r="D117" s="53"/>
      <c r="E117" s="54"/>
      <c r="G117" s="56"/>
    </row>
    <row r="118" spans="2:7" x14ac:dyDescent="0.35">
      <c r="B118" s="58"/>
      <c r="D118" s="53"/>
      <c r="E118" s="54"/>
      <c r="G118" s="56"/>
    </row>
    <row r="119" spans="2:7" x14ac:dyDescent="0.35">
      <c r="B119" s="58"/>
      <c r="D119" s="53"/>
      <c r="E119" s="54"/>
      <c r="G119" s="56"/>
    </row>
    <row r="120" spans="2:7" x14ac:dyDescent="0.35">
      <c r="B120" s="58"/>
      <c r="D120" s="53"/>
      <c r="E120" s="54"/>
      <c r="G120" s="56"/>
    </row>
    <row r="121" spans="2:7" x14ac:dyDescent="0.35">
      <c r="B121" s="58"/>
      <c r="D121" s="53"/>
      <c r="E121" s="54"/>
      <c r="G121" s="56"/>
    </row>
    <row r="122" spans="2:7" x14ac:dyDescent="0.35">
      <c r="B122" s="58"/>
      <c r="D122" s="53"/>
      <c r="E122" s="54"/>
      <c r="G122" s="56"/>
    </row>
    <row r="123" spans="2:7" x14ac:dyDescent="0.35">
      <c r="B123" s="58"/>
      <c r="D123" s="53"/>
      <c r="E123" s="54"/>
      <c r="G123" s="56"/>
    </row>
    <row r="124" spans="2:7" x14ac:dyDescent="0.35">
      <c r="B124" s="58"/>
      <c r="D124" s="53"/>
      <c r="E124" s="54"/>
      <c r="G124" s="56"/>
    </row>
    <row r="125" spans="2:7" x14ac:dyDescent="0.35">
      <c r="B125" s="58"/>
      <c r="D125" s="53"/>
      <c r="E125" s="54"/>
      <c r="G125" s="56"/>
    </row>
    <row r="126" spans="2:7" x14ac:dyDescent="0.35">
      <c r="B126" s="58"/>
      <c r="D126" s="53"/>
      <c r="E126" s="54"/>
      <c r="G126" s="56"/>
    </row>
    <row r="127" spans="2:7" x14ac:dyDescent="0.35">
      <c r="B127" s="58"/>
      <c r="D127" s="53"/>
      <c r="E127" s="54"/>
      <c r="G127" s="56"/>
    </row>
    <row r="128" spans="2:7" x14ac:dyDescent="0.35">
      <c r="B128" s="58"/>
      <c r="D128" s="53"/>
      <c r="E128" s="54"/>
      <c r="G128" s="56"/>
    </row>
    <row r="129" spans="2:7" x14ac:dyDescent="0.35">
      <c r="B129" s="58"/>
      <c r="D129" s="53"/>
      <c r="E129" s="54"/>
      <c r="G129" s="56"/>
    </row>
    <row r="130" spans="2:7" x14ac:dyDescent="0.35">
      <c r="B130" s="58"/>
      <c r="D130" s="53"/>
      <c r="E130" s="54"/>
      <c r="G130" s="56"/>
    </row>
    <row r="131" spans="2:7" x14ac:dyDescent="0.35">
      <c r="B131" s="58"/>
      <c r="D131" s="53"/>
      <c r="E131" s="54"/>
      <c r="G131" s="56"/>
    </row>
    <row r="132" spans="2:7" x14ac:dyDescent="0.35">
      <c r="B132" s="58"/>
      <c r="D132" s="53"/>
      <c r="E132" s="54"/>
      <c r="G132" s="56"/>
    </row>
    <row r="133" spans="2:7" x14ac:dyDescent="0.35">
      <c r="B133" s="58"/>
      <c r="D133" s="53"/>
      <c r="E133" s="54"/>
      <c r="G133" s="56"/>
    </row>
    <row r="134" spans="2:7" x14ac:dyDescent="0.35">
      <c r="B134" s="58"/>
      <c r="D134" s="53"/>
      <c r="E134" s="54"/>
      <c r="G134" s="56"/>
    </row>
    <row r="135" spans="2:7" x14ac:dyDescent="0.35">
      <c r="B135" s="58"/>
      <c r="D135" s="53"/>
      <c r="E135" s="54"/>
      <c r="G135" s="56"/>
    </row>
    <row r="136" spans="2:7" x14ac:dyDescent="0.35">
      <c r="B136" s="58"/>
      <c r="D136" s="53"/>
      <c r="E136" s="54"/>
      <c r="G136" s="56"/>
    </row>
    <row r="137" spans="2:7" x14ac:dyDescent="0.35">
      <c r="B137" s="58"/>
      <c r="D137" s="53"/>
      <c r="E137" s="54"/>
      <c r="G137" s="56"/>
    </row>
    <row r="138" spans="2:7" x14ac:dyDescent="0.35">
      <c r="B138" s="58"/>
      <c r="D138" s="53"/>
      <c r="E138" s="54"/>
      <c r="G138" s="56"/>
    </row>
    <row r="139" spans="2:7" x14ac:dyDescent="0.35">
      <c r="B139" s="58"/>
      <c r="C139" s="59"/>
      <c r="D139" s="53"/>
      <c r="E139" s="54"/>
      <c r="G139" s="56"/>
    </row>
    <row r="140" spans="2:7" x14ac:dyDescent="0.35">
      <c r="B140" s="58"/>
      <c r="D140" s="53"/>
      <c r="E140" s="54"/>
      <c r="G140" s="56"/>
    </row>
    <row r="141" spans="2:7" x14ac:dyDescent="0.35">
      <c r="B141" s="58"/>
      <c r="D141" s="53"/>
      <c r="E141" s="54"/>
      <c r="G141" s="56"/>
    </row>
    <row r="142" spans="2:7" x14ac:dyDescent="0.35">
      <c r="B142" s="58"/>
      <c r="D142" s="53"/>
      <c r="E142" s="54"/>
      <c r="G142" s="56"/>
    </row>
    <row r="143" spans="2:7" x14ac:dyDescent="0.35">
      <c r="B143" s="58"/>
      <c r="D143" s="53"/>
      <c r="E143" s="54"/>
      <c r="G143" s="56"/>
    </row>
    <row r="144" spans="2:7" x14ac:dyDescent="0.35">
      <c r="B144" s="58"/>
      <c r="D144" s="53"/>
      <c r="E144" s="54"/>
      <c r="G144" s="56"/>
    </row>
    <row r="145" spans="2:7" x14ac:dyDescent="0.35">
      <c r="B145" s="58"/>
      <c r="D145" s="53"/>
      <c r="E145" s="54"/>
      <c r="G145" s="56"/>
    </row>
    <row r="146" spans="2:7" x14ac:dyDescent="0.35">
      <c r="B146" s="58"/>
      <c r="C146" s="59"/>
      <c r="D146" s="53"/>
      <c r="E146" s="54"/>
      <c r="G146" s="56"/>
    </row>
    <row r="147" spans="2:7" x14ac:dyDescent="0.35">
      <c r="B147" s="58"/>
      <c r="D147" s="53"/>
      <c r="E147" s="54"/>
      <c r="G147" s="56"/>
    </row>
    <row r="148" spans="2:7" x14ac:dyDescent="0.35">
      <c r="B148" s="58"/>
      <c r="D148" s="53"/>
      <c r="E148" s="54"/>
      <c r="G148" s="56"/>
    </row>
    <row r="149" spans="2:7" x14ac:dyDescent="0.35">
      <c r="B149" s="58"/>
      <c r="D149" s="53"/>
      <c r="E149" s="54"/>
      <c r="G149" s="56"/>
    </row>
    <row r="150" spans="2:7" x14ac:dyDescent="0.35">
      <c r="B150" s="58"/>
      <c r="D150" s="53"/>
      <c r="E150" s="54"/>
      <c r="G150" s="56"/>
    </row>
    <row r="151" spans="2:7" x14ac:dyDescent="0.35">
      <c r="B151" s="58"/>
      <c r="D151" s="53"/>
      <c r="E151" s="54"/>
      <c r="G151" s="56"/>
    </row>
    <row r="152" spans="2:7" x14ac:dyDescent="0.35">
      <c r="B152" s="58"/>
      <c r="D152" s="53"/>
      <c r="E152" s="54"/>
      <c r="G152" s="56"/>
    </row>
    <row r="153" spans="2:7" x14ac:dyDescent="0.35">
      <c r="B153" s="58"/>
      <c r="D153" s="53"/>
      <c r="E153" s="54"/>
      <c r="G153" s="56"/>
    </row>
    <row r="154" spans="2:7" x14ac:dyDescent="0.35">
      <c r="B154" s="58"/>
      <c r="D154" s="53"/>
      <c r="E154" s="54"/>
      <c r="G154" s="56"/>
    </row>
    <row r="155" spans="2:7" x14ac:dyDescent="0.35">
      <c r="B155" s="58"/>
      <c r="D155" s="53"/>
      <c r="E155" s="54"/>
      <c r="G155" s="56"/>
    </row>
    <row r="156" spans="2:7" x14ac:dyDescent="0.35">
      <c r="B156" s="58"/>
      <c r="D156" s="53"/>
      <c r="E156" s="54"/>
      <c r="G156" s="56"/>
    </row>
    <row r="157" spans="2:7" x14ac:dyDescent="0.35">
      <c r="B157" s="58"/>
      <c r="D157" s="53"/>
      <c r="E157" s="54"/>
      <c r="G157" s="56"/>
    </row>
    <row r="158" spans="2:7" x14ac:dyDescent="0.35">
      <c r="B158" s="58"/>
      <c r="D158" s="53"/>
      <c r="E158" s="54"/>
      <c r="G158" s="56"/>
    </row>
    <row r="159" spans="2:7" x14ac:dyDescent="0.35">
      <c r="B159" s="58"/>
      <c r="D159" s="53"/>
      <c r="E159" s="54"/>
      <c r="G159" s="56"/>
    </row>
    <row r="160" spans="2:7" x14ac:dyDescent="0.35">
      <c r="B160" s="58"/>
      <c r="D160" s="53"/>
      <c r="E160" s="54"/>
      <c r="G160" s="56"/>
    </row>
    <row r="161" spans="2:7" x14ac:dyDescent="0.35">
      <c r="B161" s="58"/>
      <c r="D161" s="53"/>
      <c r="E161" s="54"/>
      <c r="G161" s="56"/>
    </row>
    <row r="162" spans="2:7" x14ac:dyDescent="0.35">
      <c r="B162" s="58"/>
      <c r="D162" s="53"/>
      <c r="E162" s="54"/>
      <c r="G162" s="56"/>
    </row>
    <row r="163" spans="2:7" x14ac:dyDescent="0.35">
      <c r="B163" s="58"/>
      <c r="D163" s="53"/>
      <c r="E163" s="54"/>
      <c r="G163" s="56"/>
    </row>
    <row r="164" spans="2:7" x14ac:dyDescent="0.35">
      <c r="B164" s="58"/>
      <c r="D164" s="53"/>
      <c r="E164" s="54"/>
      <c r="G164" s="56"/>
    </row>
    <row r="165" spans="2:7" x14ac:dyDescent="0.35">
      <c r="B165" s="58"/>
      <c r="D165" s="53"/>
      <c r="E165" s="54"/>
      <c r="G165" s="56"/>
    </row>
    <row r="166" spans="2:7" x14ac:dyDescent="0.35">
      <c r="B166" s="58"/>
      <c r="D166" s="53"/>
      <c r="E166" s="54"/>
      <c r="G166" s="56"/>
    </row>
    <row r="167" spans="2:7" x14ac:dyDescent="0.35">
      <c r="B167" s="58"/>
      <c r="D167" s="53"/>
      <c r="E167" s="54"/>
      <c r="G167" s="56"/>
    </row>
    <row r="168" spans="2:7" x14ac:dyDescent="0.35">
      <c r="B168" s="58"/>
      <c r="D168" s="53"/>
      <c r="E168" s="54"/>
      <c r="G168" s="56"/>
    </row>
    <row r="169" spans="2:7" x14ac:dyDescent="0.35">
      <c r="B169" s="58"/>
      <c r="D169" s="53"/>
      <c r="E169" s="54"/>
      <c r="G169" s="56"/>
    </row>
    <row r="170" spans="2:7" x14ac:dyDescent="0.35">
      <c r="B170" s="58"/>
      <c r="D170" s="53"/>
      <c r="E170" s="54"/>
      <c r="G170" s="56"/>
    </row>
    <row r="171" spans="2:7" x14ac:dyDescent="0.35">
      <c r="B171" s="58"/>
      <c r="D171" s="53"/>
      <c r="E171" s="54"/>
      <c r="G171" s="56"/>
    </row>
    <row r="172" spans="2:7" x14ac:dyDescent="0.35">
      <c r="B172" s="58"/>
      <c r="D172" s="53"/>
      <c r="E172" s="54"/>
      <c r="G172" s="56"/>
    </row>
    <row r="173" spans="2:7" x14ac:dyDescent="0.35">
      <c r="B173" s="58"/>
      <c r="D173" s="53"/>
      <c r="E173" s="54"/>
      <c r="G173" s="56"/>
    </row>
    <row r="174" spans="2:7" x14ac:dyDescent="0.35">
      <c r="B174" s="58"/>
      <c r="D174" s="53"/>
      <c r="E174" s="54"/>
      <c r="G174" s="56"/>
    </row>
    <row r="175" spans="2:7" x14ac:dyDescent="0.35">
      <c r="B175" s="58"/>
      <c r="D175" s="53"/>
      <c r="E175" s="54"/>
      <c r="G175" s="56"/>
    </row>
    <row r="176" spans="2:7" x14ac:dyDescent="0.35">
      <c r="B176" s="58"/>
      <c r="C176" s="60"/>
      <c r="D176" s="53"/>
      <c r="E176" s="54"/>
      <c r="G176" s="56"/>
    </row>
    <row r="177" spans="2:7" x14ac:dyDescent="0.35">
      <c r="B177" s="58"/>
      <c r="D177" s="53"/>
      <c r="E177" s="54"/>
      <c r="G177" s="56"/>
    </row>
    <row r="178" spans="2:7" x14ac:dyDescent="0.35">
      <c r="B178" s="58"/>
      <c r="D178" s="53"/>
      <c r="E178" s="54"/>
      <c r="G178" s="56"/>
    </row>
    <row r="179" spans="2:7" x14ac:dyDescent="0.35">
      <c r="B179" s="58"/>
      <c r="D179" s="53"/>
      <c r="E179" s="54"/>
      <c r="G179" s="56"/>
    </row>
    <row r="180" spans="2:7" x14ac:dyDescent="0.35">
      <c r="B180" s="58"/>
      <c r="D180" s="53"/>
      <c r="E180" s="54"/>
      <c r="G180" s="56"/>
    </row>
    <row r="181" spans="2:7" x14ac:dyDescent="0.35">
      <c r="B181" s="58"/>
      <c r="D181" s="53"/>
      <c r="E181" s="54"/>
      <c r="G181" s="56"/>
    </row>
    <row r="182" spans="2:7" x14ac:dyDescent="0.35">
      <c r="B182" s="58"/>
      <c r="C182" s="60"/>
      <c r="D182" s="57"/>
      <c r="E182" s="54"/>
      <c r="G182" s="56"/>
    </row>
    <row r="183" spans="2:7" x14ac:dyDescent="0.35">
      <c r="B183" s="58"/>
      <c r="D183" s="53"/>
      <c r="E183" s="54"/>
      <c r="G183" s="56"/>
    </row>
    <row r="184" spans="2:7" x14ac:dyDescent="0.35">
      <c r="B184" s="58"/>
      <c r="D184" s="53"/>
      <c r="E184" s="54"/>
      <c r="G184" s="56"/>
    </row>
    <row r="185" spans="2:7" x14ac:dyDescent="0.35">
      <c r="B185" s="58"/>
      <c r="D185" s="53"/>
      <c r="E185" s="54"/>
      <c r="G185" s="56"/>
    </row>
    <row r="186" spans="2:7" x14ac:dyDescent="0.35">
      <c r="B186" s="58"/>
      <c r="D186" s="53"/>
      <c r="E186" s="54"/>
      <c r="G186" s="56"/>
    </row>
    <row r="187" spans="2:7" x14ac:dyDescent="0.35">
      <c r="B187" s="58"/>
      <c r="D187" s="53"/>
      <c r="E187" s="54"/>
      <c r="G187" s="56"/>
    </row>
    <row r="188" spans="2:7" x14ac:dyDescent="0.35">
      <c r="B188" s="58"/>
      <c r="D188" s="53"/>
      <c r="E188" s="54"/>
      <c r="G188" s="56"/>
    </row>
    <row r="189" spans="2:7" x14ac:dyDescent="0.35">
      <c r="B189" s="58"/>
      <c r="D189" s="53"/>
      <c r="E189" s="54"/>
      <c r="G189" s="56"/>
    </row>
    <row r="190" spans="2:7" x14ac:dyDescent="0.35">
      <c r="B190" s="58"/>
      <c r="C190" s="60"/>
      <c r="D190" s="53"/>
      <c r="E190" s="54"/>
      <c r="G190" s="56"/>
    </row>
    <row r="191" spans="2:7" x14ac:dyDescent="0.35">
      <c r="B191" s="58"/>
      <c r="D191" s="53"/>
      <c r="E191" s="54"/>
      <c r="G191" s="56"/>
    </row>
    <row r="192" spans="2:7" x14ac:dyDescent="0.35">
      <c r="B192" s="58"/>
      <c r="D192" s="53"/>
      <c r="E192" s="54"/>
      <c r="G192" s="56"/>
    </row>
    <row r="193" spans="2:7" x14ac:dyDescent="0.35">
      <c r="B193" s="58"/>
      <c r="D193" s="53"/>
      <c r="E193" s="54"/>
      <c r="G193" s="56"/>
    </row>
    <row r="194" spans="2:7" x14ac:dyDescent="0.35">
      <c r="B194" s="58"/>
      <c r="D194" s="53"/>
      <c r="E194" s="54"/>
      <c r="G194" s="56"/>
    </row>
    <row r="195" spans="2:7" x14ac:dyDescent="0.35">
      <c r="B195" s="58"/>
      <c r="D195" s="53"/>
      <c r="E195" s="54"/>
      <c r="G195" s="56"/>
    </row>
    <row r="196" spans="2:7" x14ac:dyDescent="0.35">
      <c r="B196" s="58"/>
      <c r="D196" s="53"/>
      <c r="E196" s="54"/>
      <c r="G196" s="56"/>
    </row>
    <row r="197" spans="2:7" x14ac:dyDescent="0.35">
      <c r="B197" s="58"/>
      <c r="D197" s="53"/>
      <c r="E197" s="54"/>
      <c r="G197" s="56"/>
    </row>
    <row r="198" spans="2:7" x14ac:dyDescent="0.35">
      <c r="B198" s="58"/>
      <c r="D198" s="53"/>
      <c r="E198" s="54"/>
      <c r="G198" s="56"/>
    </row>
    <row r="199" spans="2:7" x14ac:dyDescent="0.35">
      <c r="B199" s="58"/>
      <c r="D199" s="53"/>
      <c r="E199" s="54"/>
      <c r="G199" s="56"/>
    </row>
    <row r="200" spans="2:7" x14ac:dyDescent="0.35">
      <c r="B200" s="58"/>
      <c r="D200" s="53"/>
      <c r="E200" s="54"/>
      <c r="G200" s="56"/>
    </row>
    <row r="201" spans="2:7" x14ac:dyDescent="0.35">
      <c r="B201" s="58"/>
      <c r="D201" s="53"/>
      <c r="E201" s="54"/>
      <c r="G201" s="56"/>
    </row>
    <row r="202" spans="2:7" x14ac:dyDescent="0.35">
      <c r="B202" s="58"/>
      <c r="D202" s="53"/>
      <c r="E202" s="54"/>
      <c r="G202" s="56"/>
    </row>
    <row r="203" spans="2:7" x14ac:dyDescent="0.35">
      <c r="B203" s="58"/>
      <c r="D203" s="53"/>
      <c r="E203" s="54"/>
      <c r="G203" s="56"/>
    </row>
    <row r="204" spans="2:7" x14ac:dyDescent="0.35">
      <c r="B204" s="58"/>
      <c r="D204" s="53"/>
      <c r="E204" s="54"/>
      <c r="G204" s="56"/>
    </row>
    <row r="205" spans="2:7" x14ac:dyDescent="0.35">
      <c r="B205" s="58"/>
      <c r="D205" s="53"/>
      <c r="E205" s="54"/>
      <c r="G205" s="56"/>
    </row>
    <row r="206" spans="2:7" x14ac:dyDescent="0.35">
      <c r="B206" s="58"/>
      <c r="D206" s="53"/>
      <c r="E206" s="54"/>
      <c r="G206" s="56"/>
    </row>
    <row r="207" spans="2:7" x14ac:dyDescent="0.35">
      <c r="B207" s="58"/>
      <c r="D207" s="53"/>
      <c r="E207" s="54"/>
      <c r="G207" s="56"/>
    </row>
    <row r="208" spans="2:7" x14ac:dyDescent="0.35">
      <c r="B208" s="58"/>
      <c r="D208" s="53"/>
      <c r="E208" s="54"/>
      <c r="G208" s="56"/>
    </row>
    <row r="209" spans="2:7" x14ac:dyDescent="0.35">
      <c r="B209" s="58"/>
      <c r="D209" s="53"/>
      <c r="E209" s="54"/>
      <c r="G209" s="56"/>
    </row>
    <row r="210" spans="2:7" x14ac:dyDescent="0.35">
      <c r="B210" s="58"/>
      <c r="D210" s="53"/>
      <c r="E210" s="54"/>
      <c r="G210" s="56"/>
    </row>
    <row r="211" spans="2:7" x14ac:dyDescent="0.35">
      <c r="B211" s="58"/>
      <c r="D211" s="53"/>
      <c r="E211" s="54"/>
      <c r="G211" s="56"/>
    </row>
    <row r="212" spans="2:7" x14ac:dyDescent="0.35">
      <c r="B212" s="58"/>
      <c r="D212" s="53"/>
      <c r="E212" s="54"/>
      <c r="G212" s="56"/>
    </row>
    <row r="213" spans="2:7" x14ac:dyDescent="0.35">
      <c r="B213" s="58"/>
      <c r="D213" s="53"/>
      <c r="E213" s="54"/>
      <c r="G213" s="56"/>
    </row>
    <row r="214" spans="2:7" x14ac:dyDescent="0.35">
      <c r="B214" s="58"/>
      <c r="D214" s="53"/>
      <c r="E214" s="54"/>
      <c r="G214" s="56"/>
    </row>
    <row r="215" spans="2:7" x14ac:dyDescent="0.35">
      <c r="B215" s="58"/>
      <c r="D215" s="53"/>
      <c r="E215" s="54"/>
      <c r="G215" s="56"/>
    </row>
    <row r="216" spans="2:7" x14ac:dyDescent="0.35">
      <c r="B216" s="58"/>
      <c r="D216" s="53"/>
      <c r="E216" s="54"/>
      <c r="G216" s="56"/>
    </row>
    <row r="217" spans="2:7" x14ac:dyDescent="0.35">
      <c r="B217" s="58"/>
      <c r="D217" s="53"/>
      <c r="E217" s="54"/>
      <c r="G217" s="56"/>
    </row>
    <row r="218" spans="2:7" x14ac:dyDescent="0.35">
      <c r="B218" s="58"/>
      <c r="D218" s="53"/>
      <c r="E218" s="54"/>
      <c r="G218" s="56"/>
    </row>
    <row r="219" spans="2:7" x14ac:dyDescent="0.35">
      <c r="B219" s="58"/>
      <c r="D219" s="53"/>
      <c r="E219" s="54"/>
      <c r="G219" s="56"/>
    </row>
    <row r="220" spans="2:7" x14ac:dyDescent="0.35">
      <c r="B220" s="58"/>
      <c r="C220" s="61"/>
      <c r="D220" s="53"/>
      <c r="E220" s="54"/>
      <c r="G220" s="56"/>
    </row>
    <row r="221" spans="2:7" x14ac:dyDescent="0.35">
      <c r="B221" s="58"/>
      <c r="D221" s="53"/>
      <c r="E221" s="54"/>
      <c r="G221" s="56"/>
    </row>
    <row r="222" spans="2:7" x14ac:dyDescent="0.35">
      <c r="B222" s="58"/>
      <c r="D222" s="53"/>
      <c r="E222" s="54"/>
      <c r="G222" s="56"/>
    </row>
    <row r="223" spans="2:7" x14ac:dyDescent="0.35">
      <c r="B223" s="58"/>
      <c r="D223" s="53"/>
      <c r="E223" s="54"/>
      <c r="G223" s="56"/>
    </row>
    <row r="224" spans="2:7" x14ac:dyDescent="0.35">
      <c r="B224" s="58"/>
      <c r="D224" s="53"/>
      <c r="E224" s="54"/>
      <c r="G224" s="56"/>
    </row>
    <row r="225" spans="2:7" x14ac:dyDescent="0.35">
      <c r="B225" s="58"/>
      <c r="C225" s="59"/>
      <c r="D225" s="53"/>
      <c r="E225" s="54"/>
      <c r="G225" s="56"/>
    </row>
    <row r="226" spans="2:7" x14ac:dyDescent="0.35">
      <c r="B226" s="58"/>
      <c r="D226" s="53"/>
      <c r="E226" s="54"/>
      <c r="G226" s="56"/>
    </row>
    <row r="227" spans="2:7" x14ac:dyDescent="0.35">
      <c r="B227" s="58"/>
      <c r="D227" s="53"/>
      <c r="E227" s="54"/>
      <c r="G227" s="56"/>
    </row>
    <row r="228" spans="2:7" x14ac:dyDescent="0.35">
      <c r="B228" s="58"/>
      <c r="D228" s="53"/>
      <c r="E228" s="54"/>
      <c r="G228" s="56"/>
    </row>
    <row r="229" spans="2:7" x14ac:dyDescent="0.35">
      <c r="B229" s="58"/>
      <c r="D229" s="53"/>
      <c r="E229" s="54"/>
      <c r="G229" s="56"/>
    </row>
    <row r="230" spans="2:7" x14ac:dyDescent="0.35">
      <c r="B230" s="58"/>
      <c r="D230" s="53"/>
      <c r="E230" s="54"/>
      <c r="G230" s="56"/>
    </row>
    <row r="231" spans="2:7" x14ac:dyDescent="0.35">
      <c r="B231" s="58"/>
      <c r="D231" s="53"/>
      <c r="E231" s="54"/>
      <c r="G231" s="56"/>
    </row>
    <row r="232" spans="2:7" x14ac:dyDescent="0.35">
      <c r="B232" s="58"/>
      <c r="D232" s="53"/>
      <c r="E232" s="54"/>
      <c r="G232" s="56"/>
    </row>
    <row r="233" spans="2:7" x14ac:dyDescent="0.35">
      <c r="B233" s="58"/>
      <c r="D233" s="53"/>
      <c r="E233" s="54"/>
      <c r="G233" s="56"/>
    </row>
    <row r="234" spans="2:7" x14ac:dyDescent="0.35">
      <c r="B234" s="58"/>
      <c r="D234" s="53"/>
      <c r="E234" s="54"/>
      <c r="G234" s="56"/>
    </row>
    <row r="235" spans="2:7" x14ac:dyDescent="0.35">
      <c r="B235" s="58"/>
      <c r="D235" s="53"/>
      <c r="E235" s="54"/>
      <c r="G235" s="56"/>
    </row>
    <row r="236" spans="2:7" x14ac:dyDescent="0.35">
      <c r="B236" s="58"/>
      <c r="D236" s="53"/>
      <c r="E236" s="54"/>
      <c r="G236" s="56"/>
    </row>
    <row r="237" spans="2:7" x14ac:dyDescent="0.35">
      <c r="B237" s="58"/>
      <c r="D237" s="53"/>
      <c r="E237" s="54"/>
      <c r="G237" s="56"/>
    </row>
    <row r="238" spans="2:7" x14ac:dyDescent="0.35">
      <c r="B238" s="58"/>
      <c r="D238" s="53"/>
      <c r="E238" s="54"/>
      <c r="G238" s="56"/>
    </row>
    <row r="239" spans="2:7" x14ac:dyDescent="0.35">
      <c r="B239" s="58"/>
      <c r="D239" s="53"/>
      <c r="E239" s="54"/>
      <c r="G239" s="56"/>
    </row>
    <row r="240" spans="2:7" x14ac:dyDescent="0.35">
      <c r="B240" s="58"/>
      <c r="D240" s="53"/>
      <c r="E240" s="54"/>
      <c r="G240" s="56"/>
    </row>
    <row r="241" spans="2:7" x14ac:dyDescent="0.35">
      <c r="B241" s="58"/>
      <c r="D241" s="53"/>
      <c r="E241" s="54"/>
      <c r="G241" s="56"/>
    </row>
    <row r="242" spans="2:7" x14ac:dyDescent="0.35">
      <c r="B242" s="58"/>
      <c r="D242" s="53"/>
      <c r="E242" s="54"/>
      <c r="G242" s="56"/>
    </row>
    <row r="243" spans="2:7" x14ac:dyDescent="0.35">
      <c r="B243" s="58"/>
      <c r="D243" s="53"/>
      <c r="E243" s="54"/>
      <c r="G243" s="56"/>
    </row>
    <row r="244" spans="2:7" x14ac:dyDescent="0.35">
      <c r="B244" s="58"/>
      <c r="D244" s="53"/>
      <c r="E244" s="54"/>
      <c r="G244" s="56"/>
    </row>
    <row r="245" spans="2:7" x14ac:dyDescent="0.35">
      <c r="B245" s="58"/>
      <c r="D245" s="53"/>
      <c r="E245" s="54"/>
      <c r="G245" s="56"/>
    </row>
    <row r="246" spans="2:7" x14ac:dyDescent="0.35">
      <c r="B246" s="58"/>
      <c r="D246" s="53"/>
      <c r="E246" s="54"/>
      <c r="G246" s="56"/>
    </row>
    <row r="247" spans="2:7" x14ac:dyDescent="0.35">
      <c r="B247" s="58"/>
      <c r="D247" s="53"/>
      <c r="E247" s="54"/>
      <c r="G247" s="56"/>
    </row>
    <row r="248" spans="2:7" x14ac:dyDescent="0.35">
      <c r="B248" s="58"/>
      <c r="D248" s="53"/>
      <c r="E248" s="54"/>
      <c r="G248" s="56"/>
    </row>
    <row r="249" spans="2:7" x14ac:dyDescent="0.35">
      <c r="B249" s="58"/>
      <c r="D249" s="53"/>
      <c r="E249" s="54"/>
      <c r="G249" s="56"/>
    </row>
    <row r="250" spans="2:7" x14ac:dyDescent="0.35">
      <c r="B250" s="58"/>
      <c r="D250" s="53"/>
      <c r="E250" s="54"/>
      <c r="G250" s="56"/>
    </row>
    <row r="251" spans="2:7" x14ac:dyDescent="0.35">
      <c r="B251" s="58"/>
      <c r="D251" s="53"/>
      <c r="E251" s="54"/>
      <c r="G251" s="56"/>
    </row>
    <row r="252" spans="2:7" x14ac:dyDescent="0.35">
      <c r="B252" s="58"/>
      <c r="D252" s="53"/>
      <c r="E252" s="54"/>
      <c r="G252" s="56"/>
    </row>
    <row r="253" spans="2:7" x14ac:dyDescent="0.35">
      <c r="B253" s="58"/>
      <c r="D253" s="53"/>
      <c r="E253" s="54"/>
      <c r="G253" s="56"/>
    </row>
    <row r="254" spans="2:7" x14ac:dyDescent="0.35">
      <c r="B254" s="58"/>
      <c r="D254" s="53"/>
      <c r="E254" s="54"/>
      <c r="G254" s="56"/>
    </row>
    <row r="255" spans="2:7" x14ac:dyDescent="0.35">
      <c r="B255" s="58"/>
      <c r="D255" s="53"/>
      <c r="E255" s="54"/>
      <c r="G255" s="56"/>
    </row>
    <row r="256" spans="2:7" x14ac:dyDescent="0.35">
      <c r="B256" s="58"/>
      <c r="D256" s="53"/>
      <c r="E256" s="54"/>
      <c r="G256" s="56"/>
    </row>
    <row r="257" spans="2:7" x14ac:dyDescent="0.35">
      <c r="B257" s="58"/>
      <c r="D257" s="53"/>
      <c r="E257" s="54"/>
      <c r="G257" s="56"/>
    </row>
    <row r="258" spans="2:7" x14ac:dyDescent="0.35">
      <c r="B258" s="58"/>
      <c r="D258" s="53"/>
      <c r="E258" s="54"/>
      <c r="G258" s="56"/>
    </row>
    <row r="259" spans="2:7" x14ac:dyDescent="0.35">
      <c r="B259" s="58"/>
      <c r="D259" s="53"/>
      <c r="E259" s="54"/>
      <c r="G259" s="56"/>
    </row>
    <row r="260" spans="2:7" x14ac:dyDescent="0.35">
      <c r="B260" s="58"/>
      <c r="D260" s="53"/>
      <c r="E260" s="54"/>
      <c r="G260" s="56"/>
    </row>
    <row r="261" spans="2:7" x14ac:dyDescent="0.35">
      <c r="B261" s="58"/>
      <c r="D261" s="53"/>
      <c r="E261" s="54"/>
      <c r="G261" s="56"/>
    </row>
    <row r="262" spans="2:7" x14ac:dyDescent="0.35">
      <c r="B262" s="58"/>
      <c r="D262" s="53"/>
      <c r="E262" s="54"/>
      <c r="G262" s="56"/>
    </row>
    <row r="263" spans="2:7" x14ac:dyDescent="0.35">
      <c r="B263" s="58"/>
      <c r="D263" s="53"/>
      <c r="E263" s="54"/>
      <c r="G263" s="56"/>
    </row>
    <row r="264" spans="2:7" x14ac:dyDescent="0.35">
      <c r="B264" s="58"/>
      <c r="D264" s="53"/>
      <c r="E264" s="54"/>
      <c r="G264" s="56"/>
    </row>
    <row r="265" spans="2:7" x14ac:dyDescent="0.35">
      <c r="B265" s="58"/>
      <c r="D265" s="53"/>
      <c r="E265" s="54"/>
      <c r="G265" s="56"/>
    </row>
    <row r="266" spans="2:7" x14ac:dyDescent="0.35">
      <c r="B266" s="58"/>
      <c r="D266" s="53"/>
      <c r="E266" s="54"/>
      <c r="G266" s="56"/>
    </row>
    <row r="267" spans="2:7" x14ac:dyDescent="0.35">
      <c r="B267" s="58"/>
      <c r="D267" s="53"/>
      <c r="E267" s="54"/>
      <c r="G267" s="56"/>
    </row>
    <row r="268" spans="2:7" x14ac:dyDescent="0.35">
      <c r="B268" s="58"/>
      <c r="D268" s="53"/>
      <c r="E268" s="54"/>
      <c r="G268" s="56"/>
    </row>
    <row r="269" spans="2:7" x14ac:dyDescent="0.35">
      <c r="B269" s="58"/>
      <c r="D269" s="53"/>
      <c r="E269" s="54"/>
      <c r="G269" s="56"/>
    </row>
    <row r="270" spans="2:7" x14ac:dyDescent="0.35">
      <c r="B270" s="58"/>
      <c r="D270" s="53"/>
      <c r="E270" s="54"/>
      <c r="G270" s="56"/>
    </row>
    <row r="271" spans="2:7" x14ac:dyDescent="0.35">
      <c r="B271" s="58"/>
      <c r="D271" s="53"/>
      <c r="E271" s="54"/>
      <c r="G271" s="56"/>
    </row>
    <row r="272" spans="2:7" x14ac:dyDescent="0.35">
      <c r="B272" s="58"/>
      <c r="D272" s="53"/>
      <c r="E272" s="54"/>
      <c r="G272" s="56"/>
    </row>
    <row r="273" spans="2:7" x14ac:dyDescent="0.35">
      <c r="B273" s="58"/>
      <c r="D273" s="53"/>
      <c r="E273" s="54"/>
      <c r="G273" s="56"/>
    </row>
    <row r="274" spans="2:7" x14ac:dyDescent="0.35">
      <c r="B274" s="58"/>
      <c r="D274" s="53"/>
      <c r="E274" s="54"/>
      <c r="G274" s="56"/>
    </row>
    <row r="275" spans="2:7" x14ac:dyDescent="0.35">
      <c r="B275" s="58"/>
      <c r="D275" s="53"/>
      <c r="E275" s="54"/>
      <c r="G275" s="56"/>
    </row>
    <row r="276" spans="2:7" x14ac:dyDescent="0.35">
      <c r="B276" s="58"/>
      <c r="C276" s="60"/>
      <c r="D276" s="53"/>
      <c r="E276" s="54"/>
      <c r="G276" s="56"/>
    </row>
    <row r="277" spans="2:7" x14ac:dyDescent="0.35">
      <c r="B277" s="58"/>
      <c r="C277" s="60"/>
      <c r="D277" s="53"/>
      <c r="E277" s="54"/>
      <c r="G277" s="56"/>
    </row>
    <row r="278" spans="2:7" x14ac:dyDescent="0.35">
      <c r="B278" s="58"/>
      <c r="D278" s="53"/>
      <c r="E278" s="54"/>
      <c r="G278" s="56"/>
    </row>
    <row r="279" spans="2:7" x14ac:dyDescent="0.35">
      <c r="B279" s="58"/>
      <c r="D279" s="53"/>
      <c r="E279" s="54"/>
      <c r="G279" s="56"/>
    </row>
    <row r="280" spans="2:7" x14ac:dyDescent="0.35">
      <c r="B280" s="58"/>
      <c r="D280" s="53"/>
      <c r="E280" s="54"/>
      <c r="G280" s="56"/>
    </row>
    <row r="281" spans="2:7" x14ac:dyDescent="0.35">
      <c r="B281" s="58"/>
      <c r="D281" s="53"/>
      <c r="E281" s="54"/>
      <c r="G281" s="56"/>
    </row>
    <row r="282" spans="2:7" x14ac:dyDescent="0.35">
      <c r="B282" s="58"/>
      <c r="D282" s="53"/>
      <c r="E282" s="54"/>
      <c r="G282" s="56"/>
    </row>
    <row r="283" spans="2:7" x14ac:dyDescent="0.35">
      <c r="B283" s="58"/>
      <c r="D283" s="53"/>
      <c r="E283" s="54"/>
      <c r="G283" s="56"/>
    </row>
    <row r="284" spans="2:7" x14ac:dyDescent="0.35">
      <c r="B284" s="58"/>
      <c r="D284" s="53"/>
      <c r="E284" s="54"/>
      <c r="G284" s="56"/>
    </row>
    <row r="285" spans="2:7" x14ac:dyDescent="0.35">
      <c r="B285" s="58"/>
      <c r="C285" s="59"/>
      <c r="D285" s="53"/>
      <c r="E285" s="54"/>
      <c r="G285" s="56"/>
    </row>
    <row r="286" spans="2:7" x14ac:dyDescent="0.35">
      <c r="B286" s="58"/>
      <c r="D286" s="53"/>
      <c r="E286" s="54"/>
      <c r="G286" s="56"/>
    </row>
    <row r="287" spans="2:7" x14ac:dyDescent="0.35">
      <c r="B287" s="58"/>
      <c r="D287" s="53"/>
      <c r="E287" s="54"/>
      <c r="G287" s="56"/>
    </row>
    <row r="288" spans="2:7" x14ac:dyDescent="0.35">
      <c r="B288" s="58"/>
      <c r="D288" s="53"/>
      <c r="E288" s="54"/>
      <c r="G288" s="56"/>
    </row>
    <row r="289" spans="2:7" x14ac:dyDescent="0.35">
      <c r="B289" s="58"/>
      <c r="D289" s="53"/>
      <c r="E289" s="54"/>
      <c r="G289" s="56"/>
    </row>
    <row r="290" spans="2:7" x14ac:dyDescent="0.35">
      <c r="B290" s="58"/>
      <c r="D290" s="53"/>
      <c r="E290" s="54"/>
      <c r="G290" s="56"/>
    </row>
    <row r="291" spans="2:7" x14ac:dyDescent="0.35">
      <c r="B291" s="58"/>
      <c r="D291" s="53"/>
      <c r="E291" s="54"/>
      <c r="G291" s="56"/>
    </row>
    <row r="292" spans="2:7" x14ac:dyDescent="0.35">
      <c r="B292" s="58"/>
      <c r="C292" s="59"/>
      <c r="D292" s="53"/>
      <c r="E292" s="54"/>
      <c r="G292" s="56"/>
    </row>
    <row r="293" spans="2:7" x14ac:dyDescent="0.35">
      <c r="B293" s="58"/>
      <c r="D293" s="53"/>
      <c r="E293" s="54"/>
      <c r="G293" s="56"/>
    </row>
    <row r="294" spans="2:7" x14ac:dyDescent="0.35">
      <c r="B294" s="58"/>
      <c r="D294" s="53"/>
      <c r="E294" s="54"/>
      <c r="G294" s="56"/>
    </row>
    <row r="295" spans="2:7" x14ac:dyDescent="0.35">
      <c r="B295" s="58"/>
      <c r="D295" s="53"/>
      <c r="E295" s="54"/>
      <c r="G295" s="56"/>
    </row>
    <row r="296" spans="2:7" x14ac:dyDescent="0.35">
      <c r="B296" s="58"/>
      <c r="D296" s="53"/>
      <c r="E296" s="54"/>
      <c r="G296" s="56"/>
    </row>
    <row r="297" spans="2:7" x14ac:dyDescent="0.35">
      <c r="B297" s="58"/>
      <c r="D297" s="53"/>
      <c r="E297" s="54"/>
      <c r="G297" s="56"/>
    </row>
    <row r="298" spans="2:7" x14ac:dyDescent="0.35">
      <c r="B298" s="58"/>
      <c r="D298" s="53"/>
      <c r="E298" s="54"/>
      <c r="G298" s="56"/>
    </row>
    <row r="299" spans="2:7" x14ac:dyDescent="0.35">
      <c r="B299" s="58"/>
      <c r="D299" s="53"/>
      <c r="E299" s="54"/>
      <c r="G299" s="56"/>
    </row>
    <row r="300" spans="2:7" x14ac:dyDescent="0.35">
      <c r="B300" s="58"/>
      <c r="D300" s="53"/>
      <c r="E300" s="54"/>
      <c r="G300" s="56"/>
    </row>
    <row r="301" spans="2:7" x14ac:dyDescent="0.35">
      <c r="B301" s="58"/>
      <c r="D301" s="53"/>
      <c r="E301" s="54"/>
      <c r="G301" s="56"/>
    </row>
    <row r="302" spans="2:7" x14ac:dyDescent="0.35">
      <c r="B302" s="58"/>
      <c r="D302" s="53"/>
      <c r="E302" s="54"/>
      <c r="G302" s="56"/>
    </row>
    <row r="303" spans="2:7" x14ac:dyDescent="0.35">
      <c r="B303" s="58"/>
      <c r="D303" s="53"/>
      <c r="E303" s="54"/>
      <c r="G303" s="56"/>
    </row>
    <row r="304" spans="2:7" x14ac:dyDescent="0.35">
      <c r="B304" s="58"/>
      <c r="D304" s="53"/>
      <c r="E304" s="54"/>
      <c r="G304" s="56"/>
    </row>
    <row r="305" spans="2:7" x14ac:dyDescent="0.35">
      <c r="B305" s="58"/>
      <c r="D305" s="53"/>
      <c r="E305" s="54"/>
      <c r="G305" s="56"/>
    </row>
    <row r="306" spans="2:7" x14ac:dyDescent="0.35">
      <c r="B306" s="58"/>
      <c r="D306" s="53"/>
      <c r="E306" s="54"/>
      <c r="G306" s="56"/>
    </row>
    <row r="307" spans="2:7" x14ac:dyDescent="0.35">
      <c r="B307" s="58"/>
      <c r="D307" s="53"/>
      <c r="E307" s="54"/>
      <c r="G307" s="56"/>
    </row>
    <row r="308" spans="2:7" x14ac:dyDescent="0.35">
      <c r="B308" s="58"/>
      <c r="D308" s="53"/>
      <c r="E308" s="54"/>
      <c r="G308" s="56"/>
    </row>
    <row r="309" spans="2:7" x14ac:dyDescent="0.35">
      <c r="B309" s="58"/>
      <c r="D309" s="53"/>
      <c r="E309" s="54"/>
      <c r="G309" s="56"/>
    </row>
    <row r="310" spans="2:7" x14ac:dyDescent="0.35">
      <c r="B310" s="58"/>
      <c r="D310" s="53"/>
      <c r="E310" s="54"/>
      <c r="G310" s="56"/>
    </row>
    <row r="311" spans="2:7" x14ac:dyDescent="0.35">
      <c r="B311" s="58"/>
      <c r="D311" s="53"/>
      <c r="E311" s="54"/>
      <c r="G311" s="56"/>
    </row>
    <row r="312" spans="2:7" x14ac:dyDescent="0.35">
      <c r="B312" s="58"/>
      <c r="D312" s="53"/>
      <c r="E312" s="54"/>
      <c r="G312" s="56"/>
    </row>
    <row r="313" spans="2:7" x14ac:dyDescent="0.35">
      <c r="B313" s="58"/>
      <c r="D313" s="53"/>
      <c r="E313" s="54"/>
      <c r="G313" s="56"/>
    </row>
    <row r="314" spans="2:7" x14ac:dyDescent="0.35">
      <c r="B314" s="58"/>
      <c r="D314" s="53"/>
      <c r="E314" s="54"/>
      <c r="G314" s="56"/>
    </row>
    <row r="315" spans="2:7" x14ac:dyDescent="0.35">
      <c r="B315" s="58"/>
      <c r="D315" s="53"/>
      <c r="E315" s="54"/>
      <c r="G315" s="56"/>
    </row>
    <row r="316" spans="2:7" x14ac:dyDescent="0.35">
      <c r="B316" s="58"/>
      <c r="D316" s="53"/>
      <c r="E316" s="54"/>
      <c r="G316" s="56"/>
    </row>
    <row r="317" spans="2:7" x14ac:dyDescent="0.35">
      <c r="B317" s="58"/>
      <c r="D317" s="53"/>
      <c r="E317" s="54"/>
      <c r="G317" s="56"/>
    </row>
    <row r="318" spans="2:7" x14ac:dyDescent="0.35">
      <c r="B318" s="58"/>
      <c r="C318" s="59"/>
      <c r="D318" s="53"/>
      <c r="E318" s="54"/>
      <c r="G318" s="56"/>
    </row>
    <row r="319" spans="2:7" x14ac:dyDescent="0.35">
      <c r="B319" s="58"/>
      <c r="D319" s="53"/>
      <c r="E319" s="54"/>
      <c r="G319" s="56"/>
    </row>
    <row r="320" spans="2:7" x14ac:dyDescent="0.35">
      <c r="B320" s="58"/>
      <c r="D320" s="53"/>
      <c r="E320" s="54"/>
      <c r="G320" s="56"/>
    </row>
    <row r="321" spans="2:7" x14ac:dyDescent="0.35">
      <c r="B321" s="58"/>
      <c r="D321" s="53"/>
      <c r="E321" s="54"/>
      <c r="G321" s="56"/>
    </row>
    <row r="322" spans="2:7" x14ac:dyDescent="0.35">
      <c r="B322" s="58"/>
      <c r="D322" s="53"/>
      <c r="E322" s="54"/>
      <c r="G322" s="56"/>
    </row>
    <row r="323" spans="2:7" x14ac:dyDescent="0.35">
      <c r="B323" s="58"/>
      <c r="D323" s="53"/>
      <c r="E323" s="54"/>
      <c r="G323" s="56"/>
    </row>
    <row r="324" spans="2:7" x14ac:dyDescent="0.35">
      <c r="B324" s="58"/>
      <c r="D324" s="53"/>
      <c r="E324" s="54"/>
      <c r="G324" s="56"/>
    </row>
    <row r="325" spans="2:7" x14ac:dyDescent="0.35">
      <c r="B325" s="58"/>
      <c r="D325" s="53"/>
      <c r="E325" s="54"/>
      <c r="G325" s="56"/>
    </row>
    <row r="326" spans="2:7" x14ac:dyDescent="0.35">
      <c r="B326" s="58"/>
      <c r="D326" s="53"/>
      <c r="E326" s="54"/>
      <c r="G326" s="56"/>
    </row>
    <row r="327" spans="2:7" x14ac:dyDescent="0.35">
      <c r="B327" s="58"/>
      <c r="D327" s="53"/>
      <c r="E327" s="54"/>
      <c r="G327" s="56"/>
    </row>
    <row r="328" spans="2:7" x14ac:dyDescent="0.35">
      <c r="B328" s="58"/>
      <c r="D328" s="53"/>
      <c r="E328" s="54"/>
      <c r="G328" s="56"/>
    </row>
    <row r="329" spans="2:7" x14ac:dyDescent="0.35">
      <c r="B329" s="58"/>
      <c r="D329" s="53"/>
      <c r="E329" s="54"/>
      <c r="G329" s="56"/>
    </row>
    <row r="330" spans="2:7" x14ac:dyDescent="0.35">
      <c r="B330" s="58"/>
      <c r="D330" s="53"/>
      <c r="E330" s="54"/>
      <c r="G330" s="56"/>
    </row>
    <row r="331" spans="2:7" x14ac:dyDescent="0.35">
      <c r="B331" s="58"/>
      <c r="D331" s="53"/>
      <c r="E331" s="54"/>
      <c r="G331" s="56"/>
    </row>
    <row r="332" spans="2:7" x14ac:dyDescent="0.35">
      <c r="B332" s="58"/>
      <c r="D332" s="53"/>
      <c r="E332" s="54"/>
      <c r="G332" s="56"/>
    </row>
    <row r="333" spans="2:7" x14ac:dyDescent="0.35">
      <c r="B333" s="58"/>
      <c r="D333" s="53"/>
      <c r="E333" s="54"/>
      <c r="G333" s="56"/>
    </row>
    <row r="334" spans="2:7" x14ac:dyDescent="0.35">
      <c r="B334" s="58"/>
      <c r="D334" s="53"/>
      <c r="E334" s="54"/>
      <c r="G334" s="56"/>
    </row>
    <row r="335" spans="2:7" x14ac:dyDescent="0.35">
      <c r="B335" s="58"/>
      <c r="D335" s="53"/>
      <c r="E335" s="54"/>
      <c r="G335" s="56"/>
    </row>
    <row r="336" spans="2:7" x14ac:dyDescent="0.35">
      <c r="B336" s="58"/>
      <c r="D336" s="53"/>
      <c r="E336" s="54"/>
      <c r="G336" s="56"/>
    </row>
    <row r="337" spans="2:7" x14ac:dyDescent="0.35">
      <c r="B337" s="58"/>
      <c r="D337" s="53"/>
      <c r="E337" s="54"/>
      <c r="G337" s="56"/>
    </row>
    <row r="338" spans="2:7" x14ac:dyDescent="0.35">
      <c r="B338" s="58"/>
      <c r="D338" s="53"/>
      <c r="E338" s="54"/>
      <c r="G338" s="56"/>
    </row>
    <row r="339" spans="2:7" x14ac:dyDescent="0.35">
      <c r="B339" s="58"/>
      <c r="D339" s="53"/>
      <c r="E339" s="54"/>
      <c r="G339" s="56"/>
    </row>
    <row r="340" spans="2:7" x14ac:dyDescent="0.35">
      <c r="B340" s="58"/>
      <c r="D340" s="53"/>
      <c r="E340" s="54"/>
      <c r="G340" s="56"/>
    </row>
    <row r="341" spans="2:7" x14ac:dyDescent="0.35">
      <c r="B341" s="58"/>
      <c r="D341" s="53"/>
      <c r="E341" s="54"/>
      <c r="G341" s="56"/>
    </row>
    <row r="342" spans="2:7" x14ac:dyDescent="0.35">
      <c r="B342" s="58"/>
      <c r="D342" s="53"/>
      <c r="E342" s="54"/>
      <c r="G342" s="56"/>
    </row>
    <row r="343" spans="2:7" x14ac:dyDescent="0.35">
      <c r="B343" s="58"/>
      <c r="D343" s="53"/>
      <c r="E343" s="54"/>
      <c r="G343" s="56"/>
    </row>
    <row r="344" spans="2:7" x14ac:dyDescent="0.35">
      <c r="B344" s="58"/>
      <c r="D344" s="53"/>
      <c r="E344" s="54"/>
      <c r="G344" s="56"/>
    </row>
    <row r="345" spans="2:7" x14ac:dyDescent="0.35">
      <c r="B345" s="58"/>
      <c r="C345" s="60"/>
      <c r="D345" s="53"/>
      <c r="E345" s="54"/>
      <c r="G345" s="56"/>
    </row>
    <row r="346" spans="2:7" x14ac:dyDescent="0.35">
      <c r="B346" s="58"/>
      <c r="D346" s="53"/>
      <c r="E346" s="54"/>
      <c r="G346" s="56"/>
    </row>
    <row r="347" spans="2:7" x14ac:dyDescent="0.35">
      <c r="B347" s="58"/>
      <c r="D347" s="53"/>
      <c r="E347" s="54"/>
      <c r="G347" s="56"/>
    </row>
    <row r="348" spans="2:7" x14ac:dyDescent="0.35">
      <c r="B348" s="58"/>
      <c r="C348" s="60"/>
      <c r="D348" s="53"/>
      <c r="E348" s="54"/>
      <c r="G348" s="56"/>
    </row>
    <row r="349" spans="2:7" x14ac:dyDescent="0.35">
      <c r="B349" s="58"/>
      <c r="D349" s="53"/>
      <c r="E349" s="54"/>
      <c r="G349" s="56"/>
    </row>
    <row r="350" spans="2:7" x14ac:dyDescent="0.35">
      <c r="B350" s="58"/>
      <c r="D350" s="53"/>
      <c r="E350" s="54"/>
      <c r="G350" s="56"/>
    </row>
    <row r="351" spans="2:7" x14ac:dyDescent="0.35">
      <c r="B351" s="58"/>
      <c r="C351" s="59"/>
      <c r="D351" s="53"/>
      <c r="E351" s="54"/>
      <c r="G351" s="56"/>
    </row>
    <row r="352" spans="2:7" x14ac:dyDescent="0.35">
      <c r="B352" s="58"/>
      <c r="D352" s="53"/>
      <c r="E352" s="54"/>
      <c r="G352" s="56"/>
    </row>
    <row r="353" spans="2:7" x14ac:dyDescent="0.35">
      <c r="B353" s="58"/>
      <c r="D353" s="53"/>
      <c r="E353" s="54"/>
      <c r="G353" s="56"/>
    </row>
    <row r="354" spans="2:7" x14ac:dyDescent="0.35">
      <c r="B354" s="58"/>
      <c r="D354" s="53"/>
      <c r="E354" s="54"/>
      <c r="G354" s="56"/>
    </row>
    <row r="355" spans="2:7" x14ac:dyDescent="0.35">
      <c r="B355" s="58"/>
      <c r="D355" s="53"/>
      <c r="E355" s="54"/>
      <c r="G355" s="56"/>
    </row>
    <row r="356" spans="2:7" x14ac:dyDescent="0.35">
      <c r="B356" s="58"/>
      <c r="D356" s="53"/>
      <c r="E356" s="54"/>
      <c r="G356" s="56"/>
    </row>
    <row r="357" spans="2:7" x14ac:dyDescent="0.35">
      <c r="B357" s="58"/>
      <c r="C357" s="59"/>
      <c r="D357" s="53"/>
      <c r="E357" s="54"/>
      <c r="G357" s="56"/>
    </row>
    <row r="358" spans="2:7" x14ac:dyDescent="0.35">
      <c r="B358" s="58"/>
      <c r="D358" s="53"/>
      <c r="E358" s="54"/>
      <c r="G358" s="56"/>
    </row>
    <row r="359" spans="2:7" x14ac:dyDescent="0.35">
      <c r="B359" s="58"/>
      <c r="D359" s="53"/>
      <c r="E359" s="54"/>
      <c r="G359" s="56"/>
    </row>
    <row r="360" spans="2:7" x14ac:dyDescent="0.35">
      <c r="B360" s="58"/>
      <c r="D360" s="53"/>
      <c r="E360" s="54"/>
      <c r="G360" s="56"/>
    </row>
    <row r="361" spans="2:7" x14ac:dyDescent="0.35">
      <c r="B361" s="58"/>
      <c r="D361" s="53"/>
      <c r="E361" s="54"/>
      <c r="G361" s="56"/>
    </row>
    <row r="362" spans="2:7" x14ac:dyDescent="0.35">
      <c r="B362" s="58"/>
      <c r="D362" s="53"/>
      <c r="E362" s="54"/>
      <c r="G362" s="56"/>
    </row>
    <row r="363" spans="2:7" x14ac:dyDescent="0.35">
      <c r="B363" s="58"/>
      <c r="D363" s="53"/>
      <c r="E363" s="54"/>
      <c r="G363" s="56"/>
    </row>
    <row r="364" spans="2:7" x14ac:dyDescent="0.35">
      <c r="B364" s="58"/>
      <c r="D364" s="53"/>
      <c r="E364" s="54"/>
      <c r="G364" s="56"/>
    </row>
    <row r="365" spans="2:7" x14ac:dyDescent="0.35">
      <c r="B365" s="58"/>
      <c r="D365" s="53"/>
      <c r="E365" s="54"/>
      <c r="G365" s="56"/>
    </row>
    <row r="366" spans="2:7" x14ac:dyDescent="0.35">
      <c r="B366" s="58"/>
      <c r="D366" s="53"/>
      <c r="E366" s="54"/>
      <c r="G366" s="56"/>
    </row>
    <row r="367" spans="2:7" x14ac:dyDescent="0.35">
      <c r="B367" s="58"/>
      <c r="D367" s="53"/>
      <c r="E367" s="54"/>
      <c r="G367" s="56"/>
    </row>
    <row r="368" spans="2:7" x14ac:dyDescent="0.35">
      <c r="B368" s="58"/>
      <c r="D368" s="53"/>
      <c r="E368" s="54"/>
      <c r="G368" s="56"/>
    </row>
    <row r="369" spans="2:7" x14ac:dyDescent="0.35">
      <c r="B369" s="58"/>
      <c r="D369" s="53"/>
      <c r="E369" s="54"/>
      <c r="G369" s="56"/>
    </row>
    <row r="370" spans="2:7" x14ac:dyDescent="0.35">
      <c r="B370" s="58"/>
      <c r="D370" s="53"/>
      <c r="E370" s="54"/>
      <c r="G370" s="56"/>
    </row>
    <row r="371" spans="2:7" x14ac:dyDescent="0.35">
      <c r="B371" s="58"/>
      <c r="D371" s="53"/>
      <c r="E371" s="54"/>
      <c r="G371" s="56"/>
    </row>
    <row r="372" spans="2:7" x14ac:dyDescent="0.35">
      <c r="B372" s="58"/>
      <c r="D372" s="53"/>
      <c r="E372" s="54"/>
      <c r="G372" s="56"/>
    </row>
    <row r="373" spans="2:7" x14ac:dyDescent="0.35">
      <c r="B373" s="58"/>
      <c r="D373" s="53"/>
      <c r="E373" s="54"/>
      <c r="G373" s="56"/>
    </row>
    <row r="374" spans="2:7" x14ac:dyDescent="0.35">
      <c r="B374" s="58"/>
      <c r="D374" s="53"/>
      <c r="E374" s="54"/>
      <c r="G374" s="56"/>
    </row>
    <row r="375" spans="2:7" x14ac:dyDescent="0.35">
      <c r="B375" s="58"/>
      <c r="D375" s="53"/>
      <c r="E375" s="54"/>
      <c r="G375" s="56"/>
    </row>
    <row r="376" spans="2:7" x14ac:dyDescent="0.35">
      <c r="B376" s="58"/>
      <c r="D376" s="53"/>
      <c r="E376" s="54"/>
      <c r="G376" s="56"/>
    </row>
    <row r="377" spans="2:7" x14ac:dyDescent="0.35">
      <c r="B377" s="58"/>
      <c r="D377" s="53"/>
      <c r="E377" s="54"/>
      <c r="G377" s="56"/>
    </row>
    <row r="378" spans="2:7" x14ac:dyDescent="0.35">
      <c r="B378" s="58"/>
      <c r="D378" s="53"/>
      <c r="E378" s="54"/>
      <c r="G378" s="56"/>
    </row>
    <row r="379" spans="2:7" x14ac:dyDescent="0.35">
      <c r="B379" s="58"/>
      <c r="D379" s="53"/>
      <c r="E379" s="54"/>
      <c r="G379" s="56"/>
    </row>
    <row r="380" spans="2:7" x14ac:dyDescent="0.35">
      <c r="B380" s="58"/>
      <c r="D380" s="53"/>
      <c r="E380" s="54"/>
      <c r="G380" s="56"/>
    </row>
    <row r="381" spans="2:7" x14ac:dyDescent="0.35">
      <c r="B381" s="58"/>
      <c r="D381" s="53"/>
      <c r="E381" s="54"/>
      <c r="G381" s="56"/>
    </row>
    <row r="382" spans="2:7" x14ac:dyDescent="0.35">
      <c r="B382" s="58"/>
      <c r="D382" s="53"/>
      <c r="E382" s="54"/>
      <c r="G382" s="56"/>
    </row>
    <row r="383" spans="2:7" x14ac:dyDescent="0.35">
      <c r="B383" s="58"/>
      <c r="D383" s="53"/>
      <c r="E383" s="54"/>
      <c r="G383" s="56"/>
    </row>
    <row r="384" spans="2:7" x14ac:dyDescent="0.35">
      <c r="B384" s="58"/>
      <c r="D384" s="53"/>
      <c r="E384" s="54"/>
      <c r="G384" s="56"/>
    </row>
    <row r="385" spans="2:7" x14ac:dyDescent="0.35">
      <c r="B385" s="58"/>
      <c r="D385" s="53"/>
      <c r="E385" s="54"/>
      <c r="G385" s="56"/>
    </row>
    <row r="386" spans="2:7" x14ac:dyDescent="0.35">
      <c r="B386" s="58"/>
      <c r="D386" s="53"/>
      <c r="E386" s="54"/>
      <c r="G386" s="56"/>
    </row>
    <row r="387" spans="2:7" x14ac:dyDescent="0.35">
      <c r="B387" s="58"/>
      <c r="D387" s="53"/>
      <c r="E387" s="54"/>
      <c r="G387" s="56"/>
    </row>
    <row r="388" spans="2:7" x14ac:dyDescent="0.35">
      <c r="B388" s="58"/>
      <c r="D388" s="53"/>
      <c r="E388" s="54"/>
      <c r="G388" s="56"/>
    </row>
    <row r="389" spans="2:7" x14ac:dyDescent="0.35">
      <c r="B389" s="58"/>
      <c r="D389" s="53"/>
      <c r="E389" s="54"/>
      <c r="G389" s="56"/>
    </row>
    <row r="390" spans="2:7" x14ac:dyDescent="0.35">
      <c r="B390" s="58"/>
      <c r="D390" s="53"/>
      <c r="E390" s="54"/>
      <c r="G390" s="56"/>
    </row>
    <row r="391" spans="2:7" x14ac:dyDescent="0.35">
      <c r="B391" s="58"/>
      <c r="D391" s="53"/>
      <c r="E391" s="54"/>
      <c r="G391" s="56"/>
    </row>
    <row r="392" spans="2:7" x14ac:dyDescent="0.35">
      <c r="B392" s="58"/>
      <c r="D392" s="53"/>
      <c r="E392" s="54"/>
      <c r="G392" s="56"/>
    </row>
    <row r="393" spans="2:7" x14ac:dyDescent="0.35">
      <c r="B393" s="58"/>
      <c r="D393" s="53"/>
      <c r="E393" s="54"/>
      <c r="G393" s="56"/>
    </row>
    <row r="394" spans="2:7" x14ac:dyDescent="0.35">
      <c r="B394" s="58"/>
      <c r="D394" s="53"/>
      <c r="E394" s="54"/>
      <c r="G394" s="56"/>
    </row>
    <row r="395" spans="2:7" x14ac:dyDescent="0.35">
      <c r="B395" s="58"/>
      <c r="D395" s="53"/>
      <c r="E395" s="54"/>
      <c r="G395" s="56"/>
    </row>
    <row r="396" spans="2:7" x14ac:dyDescent="0.35">
      <c r="B396" s="58"/>
      <c r="D396" s="53"/>
      <c r="E396" s="54"/>
      <c r="G396" s="56"/>
    </row>
    <row r="397" spans="2:7" x14ac:dyDescent="0.35">
      <c r="B397" s="58"/>
      <c r="D397" s="53"/>
      <c r="E397" s="54"/>
      <c r="G397" s="56"/>
    </row>
    <row r="398" spans="2:7" x14ac:dyDescent="0.35">
      <c r="B398" s="58"/>
      <c r="D398" s="53"/>
      <c r="E398" s="54"/>
      <c r="G398" s="56"/>
    </row>
    <row r="399" spans="2:7" x14ac:dyDescent="0.35">
      <c r="B399" s="58"/>
      <c r="D399" s="53"/>
      <c r="E399" s="54"/>
      <c r="G399" s="56"/>
    </row>
    <row r="400" spans="2:7" x14ac:dyDescent="0.35">
      <c r="B400" s="58"/>
      <c r="C400" s="60"/>
      <c r="D400" s="53"/>
      <c r="E400" s="54"/>
      <c r="G400" s="56"/>
    </row>
    <row r="401" spans="2:7" x14ac:dyDescent="0.35">
      <c r="B401" s="58"/>
      <c r="D401" s="53"/>
      <c r="E401" s="54"/>
      <c r="G401" s="56"/>
    </row>
    <row r="402" spans="2:7" x14ac:dyDescent="0.35">
      <c r="B402" s="58"/>
      <c r="D402" s="53"/>
      <c r="E402" s="54"/>
      <c r="G402" s="56"/>
    </row>
    <row r="403" spans="2:7" x14ac:dyDescent="0.35">
      <c r="B403" s="58"/>
      <c r="D403" s="53"/>
      <c r="E403" s="54"/>
      <c r="G403" s="56"/>
    </row>
    <row r="404" spans="2:7" x14ac:dyDescent="0.35">
      <c r="B404" s="58"/>
      <c r="D404" s="53"/>
      <c r="E404" s="54"/>
      <c r="G404" s="56"/>
    </row>
    <row r="405" spans="2:7" x14ac:dyDescent="0.35">
      <c r="B405" s="58"/>
      <c r="D405" s="53"/>
      <c r="E405" s="54"/>
      <c r="G405" s="56"/>
    </row>
    <row r="406" spans="2:7" x14ac:dyDescent="0.35">
      <c r="B406" s="58"/>
      <c r="D406" s="53"/>
      <c r="E406" s="54"/>
      <c r="G406" s="56"/>
    </row>
    <row r="407" spans="2:7" x14ac:dyDescent="0.35">
      <c r="B407" s="58"/>
      <c r="D407" s="53"/>
      <c r="E407" s="54"/>
      <c r="G407" s="56"/>
    </row>
    <row r="408" spans="2:7" x14ac:dyDescent="0.35">
      <c r="B408" s="58"/>
      <c r="D408" s="53"/>
      <c r="E408" s="54"/>
      <c r="G408" s="56"/>
    </row>
    <row r="409" spans="2:7" x14ac:dyDescent="0.35">
      <c r="B409" s="58"/>
      <c r="D409" s="53"/>
      <c r="E409" s="54"/>
      <c r="G409" s="56"/>
    </row>
    <row r="410" spans="2:7" x14ac:dyDescent="0.35">
      <c r="B410" s="58"/>
      <c r="D410" s="53"/>
      <c r="E410" s="54"/>
      <c r="G410" s="56"/>
    </row>
    <row r="411" spans="2:7" x14ac:dyDescent="0.35">
      <c r="B411" s="58"/>
      <c r="D411" s="53"/>
      <c r="E411" s="54"/>
      <c r="G411" s="56"/>
    </row>
    <row r="412" spans="2:7" x14ac:dyDescent="0.35">
      <c r="B412" s="58"/>
      <c r="D412" s="53"/>
      <c r="E412" s="54"/>
      <c r="G412" s="56"/>
    </row>
    <row r="413" spans="2:7" x14ac:dyDescent="0.35">
      <c r="B413" s="58"/>
      <c r="D413" s="53"/>
      <c r="E413" s="54"/>
      <c r="G413" s="56"/>
    </row>
    <row r="414" spans="2:7" x14ac:dyDescent="0.35">
      <c r="B414" s="58"/>
      <c r="D414" s="53"/>
      <c r="E414" s="54"/>
      <c r="G414" s="56"/>
    </row>
    <row r="415" spans="2:7" x14ac:dyDescent="0.35">
      <c r="B415" s="58"/>
      <c r="D415" s="53"/>
      <c r="E415" s="54"/>
      <c r="G415" s="56"/>
    </row>
    <row r="416" spans="2:7" x14ac:dyDescent="0.35">
      <c r="B416" s="58"/>
      <c r="D416" s="53"/>
      <c r="E416" s="54"/>
      <c r="G416" s="56"/>
    </row>
    <row r="417" spans="2:7" x14ac:dyDescent="0.35">
      <c r="B417" s="58"/>
      <c r="D417" s="53"/>
      <c r="E417" s="54"/>
      <c r="G417" s="56"/>
    </row>
    <row r="418" spans="2:7" x14ac:dyDescent="0.35">
      <c r="B418" s="58"/>
      <c r="D418" s="53"/>
      <c r="E418" s="54"/>
      <c r="G418" s="56"/>
    </row>
    <row r="419" spans="2:7" x14ac:dyDescent="0.35">
      <c r="B419" s="58"/>
      <c r="D419" s="53"/>
      <c r="E419" s="54"/>
      <c r="G419" s="56"/>
    </row>
    <row r="420" spans="2:7" x14ac:dyDescent="0.35">
      <c r="B420" s="58"/>
      <c r="D420" s="53"/>
      <c r="E420" s="54"/>
      <c r="G420" s="56"/>
    </row>
    <row r="421" spans="2:7" x14ac:dyDescent="0.35">
      <c r="B421" s="58"/>
      <c r="D421" s="53"/>
      <c r="E421" s="54"/>
      <c r="G421" s="56"/>
    </row>
    <row r="422" spans="2:7" x14ac:dyDescent="0.35">
      <c r="B422" s="58"/>
      <c r="D422" s="53"/>
      <c r="E422" s="54"/>
      <c r="G422" s="56"/>
    </row>
    <row r="423" spans="2:7" x14ac:dyDescent="0.35">
      <c r="B423" s="58"/>
      <c r="D423" s="53"/>
      <c r="E423" s="54"/>
      <c r="G423" s="56"/>
    </row>
    <row r="424" spans="2:7" x14ac:dyDescent="0.35">
      <c r="B424" s="58"/>
      <c r="D424" s="53"/>
      <c r="E424" s="54"/>
      <c r="G424" s="56"/>
    </row>
    <row r="425" spans="2:7" x14ac:dyDescent="0.35">
      <c r="B425" s="58"/>
      <c r="D425" s="53"/>
      <c r="E425" s="54"/>
      <c r="G425" s="56"/>
    </row>
    <row r="426" spans="2:7" x14ac:dyDescent="0.35">
      <c r="B426" s="58"/>
      <c r="D426" s="53"/>
      <c r="E426" s="54"/>
      <c r="G426" s="56"/>
    </row>
    <row r="427" spans="2:7" x14ac:dyDescent="0.35">
      <c r="B427" s="58"/>
      <c r="D427" s="53"/>
      <c r="E427" s="54"/>
      <c r="G427" s="56"/>
    </row>
    <row r="428" spans="2:7" x14ac:dyDescent="0.35">
      <c r="B428" s="58"/>
      <c r="D428" s="53"/>
      <c r="E428" s="54"/>
      <c r="G428" s="56"/>
    </row>
    <row r="429" spans="2:7" x14ac:dyDescent="0.35">
      <c r="B429" s="58"/>
      <c r="D429" s="53"/>
      <c r="E429" s="54"/>
      <c r="G429" s="56"/>
    </row>
    <row r="430" spans="2:7" x14ac:dyDescent="0.35">
      <c r="B430" s="58"/>
      <c r="D430" s="53"/>
      <c r="E430" s="54"/>
      <c r="G430" s="56"/>
    </row>
    <row r="431" spans="2:7" x14ac:dyDescent="0.35">
      <c r="B431" s="58"/>
      <c r="D431" s="53"/>
      <c r="E431" s="54"/>
      <c r="G431" s="56"/>
    </row>
    <row r="432" spans="2:7" x14ac:dyDescent="0.35">
      <c r="B432" s="58"/>
      <c r="D432" s="53"/>
      <c r="E432" s="54"/>
      <c r="G432" s="56"/>
    </row>
    <row r="433" spans="2:7" x14ac:dyDescent="0.35">
      <c r="B433" s="58"/>
      <c r="D433" s="53"/>
      <c r="E433" s="54"/>
      <c r="G433" s="56"/>
    </row>
    <row r="434" spans="2:7" x14ac:dyDescent="0.35">
      <c r="B434" s="58"/>
      <c r="D434" s="53"/>
      <c r="E434" s="54"/>
      <c r="G434" s="56"/>
    </row>
    <row r="435" spans="2:7" x14ac:dyDescent="0.35">
      <c r="B435" s="58"/>
      <c r="D435" s="53"/>
      <c r="E435" s="54"/>
      <c r="G435" s="56"/>
    </row>
    <row r="436" spans="2:7" x14ac:dyDescent="0.35">
      <c r="B436" s="58"/>
      <c r="D436" s="53"/>
      <c r="E436" s="54"/>
      <c r="G436" s="56"/>
    </row>
    <row r="437" spans="2:7" x14ac:dyDescent="0.35">
      <c r="B437" s="58"/>
      <c r="D437" s="53"/>
      <c r="E437" s="54"/>
      <c r="G437" s="56"/>
    </row>
    <row r="438" spans="2:7" x14ac:dyDescent="0.35">
      <c r="B438" s="58"/>
      <c r="D438" s="53"/>
      <c r="E438" s="54"/>
      <c r="G438" s="56"/>
    </row>
    <row r="439" spans="2:7" x14ac:dyDescent="0.35">
      <c r="B439" s="58"/>
      <c r="D439" s="53"/>
      <c r="E439" s="54"/>
      <c r="G439" s="56"/>
    </row>
    <row r="440" spans="2:7" x14ac:dyDescent="0.35">
      <c r="B440" s="58"/>
      <c r="D440" s="53"/>
      <c r="E440" s="54"/>
      <c r="G440" s="56"/>
    </row>
    <row r="441" spans="2:7" x14ac:dyDescent="0.35">
      <c r="B441" s="58"/>
      <c r="C441" s="61"/>
      <c r="D441" s="53"/>
      <c r="E441" s="54"/>
      <c r="G441" s="56"/>
    </row>
    <row r="442" spans="2:7" x14ac:dyDescent="0.35">
      <c r="B442" s="58"/>
      <c r="D442" s="53"/>
      <c r="E442" s="54"/>
      <c r="G442" s="56"/>
    </row>
    <row r="443" spans="2:7" x14ac:dyDescent="0.35">
      <c r="B443" s="58"/>
      <c r="D443" s="53"/>
      <c r="E443" s="54"/>
      <c r="G443" s="56"/>
    </row>
    <row r="444" spans="2:7" x14ac:dyDescent="0.35">
      <c r="B444" s="58"/>
      <c r="D444" s="53"/>
      <c r="E444" s="54"/>
      <c r="G444" s="56"/>
    </row>
    <row r="445" spans="2:7" x14ac:dyDescent="0.35">
      <c r="B445" s="58"/>
      <c r="D445" s="53"/>
      <c r="E445" s="54"/>
      <c r="G445" s="56"/>
    </row>
    <row r="446" spans="2:7" x14ac:dyDescent="0.35">
      <c r="B446" s="58"/>
      <c r="D446" s="53"/>
      <c r="E446" s="54"/>
      <c r="G446" s="56"/>
    </row>
    <row r="447" spans="2:7" x14ac:dyDescent="0.35">
      <c r="B447" s="58"/>
      <c r="D447" s="53"/>
      <c r="E447" s="54"/>
      <c r="G447" s="56"/>
    </row>
    <row r="448" spans="2:7" x14ac:dyDescent="0.35">
      <c r="B448" s="58"/>
      <c r="D448" s="53"/>
      <c r="E448" s="54"/>
      <c r="G448" s="56"/>
    </row>
    <row r="449" spans="2:7" x14ac:dyDescent="0.35">
      <c r="B449" s="58"/>
      <c r="D449" s="53"/>
      <c r="E449" s="54"/>
      <c r="G449" s="56"/>
    </row>
    <row r="450" spans="2:7" x14ac:dyDescent="0.35">
      <c r="B450" s="58"/>
      <c r="D450" s="53"/>
      <c r="E450" s="54"/>
      <c r="G450" s="56"/>
    </row>
    <row r="451" spans="2:7" x14ac:dyDescent="0.35">
      <c r="B451" s="58"/>
      <c r="C451" s="60"/>
      <c r="D451" s="53"/>
      <c r="E451" s="54"/>
      <c r="G451" s="56"/>
    </row>
    <row r="452" spans="2:7" x14ac:dyDescent="0.35">
      <c r="B452" s="58"/>
      <c r="D452" s="53"/>
      <c r="E452" s="54"/>
      <c r="G452" s="56"/>
    </row>
    <row r="453" spans="2:7" x14ac:dyDescent="0.35">
      <c r="B453" s="58"/>
      <c r="D453" s="53"/>
      <c r="E453" s="54"/>
      <c r="G453" s="56"/>
    </row>
    <row r="454" spans="2:7" x14ac:dyDescent="0.35">
      <c r="B454" s="58"/>
      <c r="D454" s="53"/>
      <c r="E454" s="54"/>
      <c r="G454" s="56"/>
    </row>
    <row r="455" spans="2:7" x14ac:dyDescent="0.35">
      <c r="B455" s="58"/>
      <c r="D455" s="53"/>
      <c r="E455" s="54"/>
      <c r="G455" s="56"/>
    </row>
    <row r="456" spans="2:7" x14ac:dyDescent="0.35">
      <c r="B456" s="58"/>
      <c r="D456" s="53"/>
      <c r="E456" s="54"/>
      <c r="G456" s="56"/>
    </row>
    <row r="457" spans="2:7" x14ac:dyDescent="0.35">
      <c r="B457" s="58"/>
      <c r="D457" s="53"/>
      <c r="E457" s="54"/>
      <c r="G457" s="56"/>
    </row>
    <row r="458" spans="2:7" x14ac:dyDescent="0.35">
      <c r="B458" s="58"/>
      <c r="D458" s="53"/>
      <c r="E458" s="54"/>
      <c r="G458" s="56"/>
    </row>
    <row r="459" spans="2:7" x14ac:dyDescent="0.35">
      <c r="B459" s="58"/>
      <c r="D459" s="53"/>
      <c r="E459" s="54"/>
      <c r="G459" s="56"/>
    </row>
    <row r="460" spans="2:7" x14ac:dyDescent="0.35">
      <c r="B460" s="58"/>
      <c r="D460" s="53"/>
      <c r="E460" s="54"/>
      <c r="G460" s="56"/>
    </row>
    <row r="461" spans="2:7" x14ac:dyDescent="0.35">
      <c r="B461" s="58"/>
      <c r="D461" s="53"/>
      <c r="E461" s="54"/>
      <c r="G461" s="56"/>
    </row>
    <row r="462" spans="2:7" x14ac:dyDescent="0.35">
      <c r="B462" s="58"/>
      <c r="D462" s="53"/>
      <c r="E462" s="54"/>
      <c r="G462" s="56"/>
    </row>
    <row r="463" spans="2:7" x14ac:dyDescent="0.35">
      <c r="B463" s="58"/>
      <c r="D463" s="53"/>
      <c r="E463" s="54"/>
      <c r="G463" s="56"/>
    </row>
    <row r="464" spans="2:7" x14ac:dyDescent="0.35">
      <c r="B464" s="58"/>
      <c r="D464" s="53"/>
      <c r="E464" s="54"/>
      <c r="G464" s="56"/>
    </row>
    <row r="465" spans="2:7" x14ac:dyDescent="0.35">
      <c r="B465" s="58"/>
      <c r="D465" s="53"/>
      <c r="E465" s="54"/>
      <c r="G465" s="56"/>
    </row>
    <row r="466" spans="2:7" x14ac:dyDescent="0.35">
      <c r="B466" s="58"/>
      <c r="D466" s="53"/>
      <c r="E466" s="54"/>
      <c r="G466" s="56"/>
    </row>
    <row r="467" spans="2:7" x14ac:dyDescent="0.35">
      <c r="B467" s="58"/>
      <c r="D467" s="53"/>
      <c r="E467" s="54"/>
      <c r="G467" s="56"/>
    </row>
    <row r="468" spans="2:7" x14ac:dyDescent="0.35">
      <c r="B468" s="58"/>
      <c r="D468" s="53"/>
      <c r="E468" s="54"/>
      <c r="G468" s="56"/>
    </row>
    <row r="469" spans="2:7" x14ac:dyDescent="0.35">
      <c r="B469" s="58"/>
      <c r="C469" s="60"/>
      <c r="D469" s="53"/>
      <c r="E469" s="54"/>
      <c r="G469" s="56"/>
    </row>
    <row r="470" spans="2:7" x14ac:dyDescent="0.35">
      <c r="B470" s="58"/>
      <c r="D470" s="53"/>
      <c r="E470" s="54"/>
      <c r="G470" s="56"/>
    </row>
    <row r="471" spans="2:7" x14ac:dyDescent="0.35">
      <c r="B471" s="58"/>
      <c r="D471" s="53"/>
      <c r="E471" s="54"/>
      <c r="G471" s="56"/>
    </row>
    <row r="472" spans="2:7" x14ac:dyDescent="0.35">
      <c r="B472" s="58"/>
      <c r="C472" s="59"/>
      <c r="D472" s="53"/>
      <c r="E472" s="54"/>
      <c r="G472" s="56"/>
    </row>
    <row r="473" spans="2:7" x14ac:dyDescent="0.35">
      <c r="B473" s="58"/>
      <c r="C473" s="59"/>
      <c r="D473" s="53"/>
      <c r="E473" s="54"/>
      <c r="G473" s="56"/>
    </row>
    <row r="474" spans="2:7" x14ac:dyDescent="0.35">
      <c r="B474" s="58"/>
      <c r="D474" s="53"/>
      <c r="E474" s="54"/>
      <c r="G474" s="56"/>
    </row>
    <row r="475" spans="2:7" x14ac:dyDescent="0.35">
      <c r="B475" s="58"/>
      <c r="D475" s="53"/>
      <c r="E475" s="54"/>
      <c r="G475" s="56"/>
    </row>
    <row r="476" spans="2:7" x14ac:dyDescent="0.35">
      <c r="B476" s="58"/>
      <c r="D476" s="53"/>
      <c r="E476" s="54"/>
      <c r="G476" s="56"/>
    </row>
    <row r="477" spans="2:7" x14ac:dyDescent="0.35">
      <c r="B477" s="58"/>
      <c r="D477" s="53"/>
      <c r="E477" s="54"/>
      <c r="G477" s="56"/>
    </row>
    <row r="478" spans="2:7" x14ac:dyDescent="0.35">
      <c r="B478" s="58"/>
      <c r="D478" s="53"/>
      <c r="E478" s="54"/>
      <c r="G478" s="56"/>
    </row>
    <row r="479" spans="2:7" x14ac:dyDescent="0.35">
      <c r="B479" s="58"/>
      <c r="D479" s="53"/>
      <c r="E479" s="54"/>
      <c r="G479" s="56"/>
    </row>
    <row r="480" spans="2:7" x14ac:dyDescent="0.35">
      <c r="B480" s="58"/>
      <c r="D480" s="53"/>
      <c r="E480" s="54"/>
      <c r="G480" s="56"/>
    </row>
    <row r="481" spans="2:7" x14ac:dyDescent="0.35">
      <c r="B481" s="58"/>
      <c r="D481" s="53"/>
      <c r="E481" s="54"/>
      <c r="G481" s="56"/>
    </row>
    <row r="482" spans="2:7" x14ac:dyDescent="0.35">
      <c r="B482" s="58"/>
      <c r="D482" s="53"/>
      <c r="E482" s="54"/>
      <c r="G482" s="56"/>
    </row>
    <row r="483" spans="2:7" x14ac:dyDescent="0.35">
      <c r="B483" s="58"/>
      <c r="D483" s="53"/>
      <c r="E483" s="54"/>
      <c r="G483" s="56"/>
    </row>
    <row r="484" spans="2:7" x14ac:dyDescent="0.35">
      <c r="B484" s="58"/>
      <c r="D484" s="53"/>
      <c r="E484" s="54"/>
      <c r="G484" s="56"/>
    </row>
    <row r="485" spans="2:7" x14ac:dyDescent="0.35">
      <c r="B485" s="58"/>
      <c r="D485" s="53"/>
      <c r="E485" s="54"/>
      <c r="G485" s="56"/>
    </row>
    <row r="486" spans="2:7" x14ac:dyDescent="0.35">
      <c r="B486" s="58"/>
      <c r="D486" s="53"/>
      <c r="E486" s="54"/>
      <c r="G486" s="56"/>
    </row>
    <row r="487" spans="2:7" x14ac:dyDescent="0.35">
      <c r="B487" s="58"/>
      <c r="D487" s="53"/>
      <c r="E487" s="54"/>
      <c r="G487" s="56"/>
    </row>
    <row r="488" spans="2:7" x14ac:dyDescent="0.35">
      <c r="B488" s="58"/>
      <c r="D488" s="53"/>
      <c r="E488" s="54"/>
      <c r="G488" s="56"/>
    </row>
    <row r="489" spans="2:7" x14ac:dyDescent="0.35">
      <c r="B489" s="58"/>
      <c r="D489" s="53"/>
      <c r="E489" s="54"/>
      <c r="G489" s="56"/>
    </row>
    <row r="490" spans="2:7" x14ac:dyDescent="0.35">
      <c r="B490" s="58"/>
      <c r="D490" s="53"/>
      <c r="E490" s="54"/>
      <c r="G490" s="56"/>
    </row>
    <row r="491" spans="2:7" x14ac:dyDescent="0.35">
      <c r="B491" s="58"/>
      <c r="D491" s="53"/>
      <c r="E491" s="54"/>
      <c r="G491" s="56"/>
    </row>
    <row r="492" spans="2:7" x14ac:dyDescent="0.35">
      <c r="B492" s="58"/>
      <c r="D492" s="53"/>
      <c r="E492" s="54"/>
      <c r="G492" s="56"/>
    </row>
    <row r="493" spans="2:7" x14ac:dyDescent="0.35">
      <c r="B493" s="58"/>
      <c r="D493" s="53"/>
      <c r="E493" s="54"/>
      <c r="G493" s="56"/>
    </row>
    <row r="494" spans="2:7" x14ac:dyDescent="0.35">
      <c r="B494" s="58"/>
      <c r="D494" s="53"/>
      <c r="E494" s="54"/>
      <c r="G494" s="56"/>
    </row>
    <row r="495" spans="2:7" x14ac:dyDescent="0.35">
      <c r="B495" s="58"/>
      <c r="D495" s="53"/>
      <c r="E495" s="54"/>
      <c r="G495" s="56"/>
    </row>
    <row r="496" spans="2:7" x14ac:dyDescent="0.35">
      <c r="B496" s="58"/>
      <c r="D496" s="53"/>
      <c r="E496" s="54"/>
      <c r="G496" s="56"/>
    </row>
    <row r="497" spans="2:7" x14ac:dyDescent="0.35">
      <c r="B497" s="58"/>
      <c r="D497" s="53"/>
      <c r="E497" s="54"/>
      <c r="G497" s="56"/>
    </row>
    <row r="498" spans="2:7" x14ac:dyDescent="0.35">
      <c r="B498" s="58"/>
      <c r="D498" s="53"/>
      <c r="E498" s="54"/>
      <c r="G498" s="56"/>
    </row>
    <row r="499" spans="2:7" x14ac:dyDescent="0.35">
      <c r="B499" s="58"/>
      <c r="D499" s="53"/>
      <c r="E499" s="54"/>
      <c r="G499" s="56"/>
    </row>
    <row r="500" spans="2:7" x14ac:dyDescent="0.35">
      <c r="B500" s="58"/>
      <c r="D500" s="53"/>
      <c r="E500" s="54"/>
      <c r="G500" s="56"/>
    </row>
    <row r="501" spans="2:7" x14ac:dyDescent="0.35">
      <c r="B501" s="58"/>
      <c r="D501" s="53"/>
      <c r="E501" s="54"/>
      <c r="G501" s="56"/>
    </row>
    <row r="502" spans="2:7" x14ac:dyDescent="0.35">
      <c r="B502" s="58"/>
      <c r="D502" s="53"/>
      <c r="E502" s="54"/>
      <c r="G502" s="56"/>
    </row>
    <row r="503" spans="2:7" x14ac:dyDescent="0.35">
      <c r="B503" s="58"/>
      <c r="D503" s="53"/>
      <c r="E503" s="54"/>
      <c r="G503" s="56"/>
    </row>
    <row r="504" spans="2:7" x14ac:dyDescent="0.35">
      <c r="B504" s="58"/>
      <c r="D504" s="53"/>
      <c r="E504" s="54"/>
      <c r="G504" s="56"/>
    </row>
    <row r="505" spans="2:7" x14ac:dyDescent="0.35">
      <c r="B505" s="58"/>
      <c r="D505" s="53"/>
      <c r="E505" s="54"/>
      <c r="G505" s="56"/>
    </row>
    <row r="506" spans="2:7" x14ac:dyDescent="0.35">
      <c r="B506" s="58"/>
      <c r="D506" s="53"/>
      <c r="E506" s="54"/>
      <c r="G506" s="56"/>
    </row>
    <row r="507" spans="2:7" x14ac:dyDescent="0.35">
      <c r="B507" s="58"/>
      <c r="D507" s="53"/>
      <c r="E507" s="54"/>
      <c r="G507" s="56"/>
    </row>
    <row r="508" spans="2:7" x14ac:dyDescent="0.35">
      <c r="B508" s="58"/>
      <c r="D508" s="53"/>
      <c r="E508" s="54"/>
      <c r="G508" s="56"/>
    </row>
    <row r="509" spans="2:7" x14ac:dyDescent="0.35">
      <c r="B509" s="58"/>
      <c r="D509" s="53"/>
      <c r="E509" s="54"/>
      <c r="G509" s="56"/>
    </row>
    <row r="510" spans="2:7" x14ac:dyDescent="0.35">
      <c r="B510" s="58"/>
      <c r="D510" s="53"/>
      <c r="E510" s="54"/>
      <c r="G510" s="56"/>
    </row>
    <row r="511" spans="2:7" x14ac:dyDescent="0.35">
      <c r="B511" s="58"/>
      <c r="D511" s="53"/>
      <c r="E511" s="54"/>
      <c r="G511" s="56"/>
    </row>
    <row r="512" spans="2:7" x14ac:dyDescent="0.35">
      <c r="B512" s="58"/>
      <c r="D512" s="53"/>
      <c r="E512" s="54"/>
      <c r="G512" s="56"/>
    </row>
    <row r="513" spans="2:7" x14ac:dyDescent="0.35">
      <c r="B513" s="58"/>
      <c r="D513" s="53"/>
      <c r="E513" s="54"/>
      <c r="G513" s="56"/>
    </row>
    <row r="514" spans="2:7" x14ac:dyDescent="0.35">
      <c r="B514" s="58"/>
      <c r="D514" s="53"/>
      <c r="E514" s="54"/>
      <c r="G514" s="56"/>
    </row>
    <row r="515" spans="2:7" x14ac:dyDescent="0.35">
      <c r="B515" s="58"/>
      <c r="D515" s="53"/>
      <c r="E515" s="54"/>
      <c r="G515" s="56"/>
    </row>
    <row r="516" spans="2:7" x14ac:dyDescent="0.35">
      <c r="B516" s="58"/>
      <c r="D516" s="53"/>
      <c r="E516" s="54"/>
      <c r="G516" s="56"/>
    </row>
    <row r="517" spans="2:7" x14ac:dyDescent="0.35">
      <c r="B517" s="58"/>
      <c r="D517" s="53"/>
      <c r="E517" s="54"/>
      <c r="G517" s="56"/>
    </row>
    <row r="518" spans="2:7" x14ac:dyDescent="0.35">
      <c r="B518" s="58"/>
      <c r="D518" s="53"/>
      <c r="E518" s="54"/>
      <c r="G518" s="56"/>
    </row>
    <row r="519" spans="2:7" x14ac:dyDescent="0.35">
      <c r="B519" s="58"/>
      <c r="D519" s="53"/>
      <c r="E519" s="54"/>
      <c r="G519" s="56"/>
    </row>
    <row r="520" spans="2:7" x14ac:dyDescent="0.35">
      <c r="B520" s="58"/>
      <c r="D520" s="53"/>
      <c r="E520" s="54"/>
      <c r="G520" s="56"/>
    </row>
    <row r="521" spans="2:7" x14ac:dyDescent="0.35">
      <c r="B521" s="58"/>
      <c r="D521" s="53"/>
      <c r="E521" s="54"/>
      <c r="G521" s="56"/>
    </row>
    <row r="522" spans="2:7" x14ac:dyDescent="0.35">
      <c r="B522" s="58"/>
      <c r="D522" s="53"/>
      <c r="E522" s="54"/>
      <c r="G522" s="56"/>
    </row>
    <row r="523" spans="2:7" x14ac:dyDescent="0.35">
      <c r="B523" s="58"/>
      <c r="D523" s="53"/>
      <c r="E523" s="54"/>
      <c r="G523" s="56"/>
    </row>
    <row r="524" spans="2:7" x14ac:dyDescent="0.35">
      <c r="B524" s="58"/>
      <c r="D524" s="53"/>
      <c r="E524" s="54"/>
      <c r="G524" s="56"/>
    </row>
    <row r="525" spans="2:7" x14ac:dyDescent="0.35">
      <c r="B525" s="58"/>
      <c r="D525" s="53"/>
      <c r="E525" s="54"/>
      <c r="G525" s="56"/>
    </row>
    <row r="526" spans="2:7" x14ac:dyDescent="0.35">
      <c r="B526" s="58"/>
      <c r="D526" s="53"/>
      <c r="E526" s="54"/>
      <c r="G526" s="56"/>
    </row>
    <row r="527" spans="2:7" x14ac:dyDescent="0.35">
      <c r="B527" s="58"/>
      <c r="D527" s="53"/>
      <c r="E527" s="54"/>
      <c r="G527" s="56"/>
    </row>
    <row r="528" spans="2:7" x14ac:dyDescent="0.35">
      <c r="B528" s="58"/>
      <c r="D528" s="53"/>
      <c r="E528" s="54"/>
      <c r="G528" s="56"/>
    </row>
    <row r="529" spans="2:7" x14ac:dyDescent="0.35">
      <c r="B529" s="58"/>
      <c r="D529" s="53"/>
      <c r="E529" s="54"/>
      <c r="G529" s="56"/>
    </row>
    <row r="530" spans="2:7" x14ac:dyDescent="0.35">
      <c r="B530" s="58"/>
      <c r="D530" s="53"/>
      <c r="E530" s="54"/>
      <c r="G530" s="56"/>
    </row>
    <row r="531" spans="2:7" x14ac:dyDescent="0.35">
      <c r="B531" s="58"/>
      <c r="C531" s="60"/>
      <c r="D531" s="53"/>
      <c r="E531" s="54"/>
      <c r="G531" s="56"/>
    </row>
    <row r="532" spans="2:7" x14ac:dyDescent="0.35">
      <c r="B532" s="58"/>
      <c r="D532" s="53"/>
      <c r="E532" s="54"/>
      <c r="G532" s="56"/>
    </row>
    <row r="533" spans="2:7" x14ac:dyDescent="0.35">
      <c r="B533" s="58"/>
      <c r="D533" s="53"/>
      <c r="E533" s="54"/>
      <c r="G533" s="56"/>
    </row>
    <row r="534" spans="2:7" x14ac:dyDescent="0.35">
      <c r="B534" s="58"/>
      <c r="D534" s="53"/>
      <c r="E534" s="54"/>
      <c r="G534" s="56"/>
    </row>
    <row r="535" spans="2:7" x14ac:dyDescent="0.35">
      <c r="B535" s="58"/>
      <c r="C535" s="61"/>
      <c r="D535" s="53"/>
      <c r="E535" s="54"/>
      <c r="G535" s="56"/>
    </row>
    <row r="536" spans="2:7" x14ac:dyDescent="0.35">
      <c r="B536" s="58"/>
      <c r="D536" s="53"/>
      <c r="E536" s="54"/>
      <c r="G536" s="56"/>
    </row>
    <row r="537" spans="2:7" x14ac:dyDescent="0.35">
      <c r="B537" s="58"/>
      <c r="C537" s="61"/>
      <c r="D537" s="53"/>
      <c r="E537" s="54"/>
      <c r="G537" s="56"/>
    </row>
    <row r="538" spans="2:7" x14ac:dyDescent="0.35">
      <c r="B538" s="58"/>
      <c r="D538" s="53"/>
      <c r="E538" s="54"/>
      <c r="G538" s="56"/>
    </row>
    <row r="539" spans="2:7" x14ac:dyDescent="0.35">
      <c r="B539" s="58"/>
      <c r="D539" s="53"/>
      <c r="E539" s="54"/>
      <c r="G539" s="56"/>
    </row>
    <row r="540" spans="2:7" x14ac:dyDescent="0.35">
      <c r="B540" s="58"/>
      <c r="D540" s="53"/>
      <c r="E540" s="54"/>
      <c r="G540" s="56"/>
    </row>
    <row r="541" spans="2:7" x14ac:dyDescent="0.35">
      <c r="B541" s="58"/>
      <c r="D541" s="53"/>
      <c r="E541" s="54"/>
      <c r="G541" s="56"/>
    </row>
    <row r="542" spans="2:7" x14ac:dyDescent="0.35">
      <c r="B542" s="58"/>
      <c r="D542" s="53"/>
      <c r="E542" s="54"/>
      <c r="G542" s="56"/>
    </row>
    <row r="543" spans="2:7" x14ac:dyDescent="0.35">
      <c r="B543" s="58"/>
      <c r="D543" s="53"/>
      <c r="E543" s="54"/>
      <c r="G543" s="56"/>
    </row>
    <row r="544" spans="2:7" x14ac:dyDescent="0.35">
      <c r="B544" s="58"/>
      <c r="D544" s="53"/>
      <c r="E544" s="54"/>
      <c r="G544" s="56"/>
    </row>
    <row r="545" spans="2:7" x14ac:dyDescent="0.35">
      <c r="B545" s="58"/>
      <c r="D545" s="53"/>
      <c r="E545" s="54"/>
      <c r="G545" s="56"/>
    </row>
    <row r="546" spans="2:7" x14ac:dyDescent="0.35">
      <c r="B546" s="58"/>
      <c r="D546" s="53"/>
      <c r="E546" s="54"/>
      <c r="G546" s="56"/>
    </row>
    <row r="547" spans="2:7" x14ac:dyDescent="0.35">
      <c r="B547" s="58"/>
      <c r="D547" s="53"/>
      <c r="E547" s="54"/>
      <c r="G547" s="56"/>
    </row>
    <row r="548" spans="2:7" x14ac:dyDescent="0.35">
      <c r="B548" s="58"/>
      <c r="D548" s="53"/>
      <c r="E548" s="54"/>
      <c r="G548" s="56"/>
    </row>
    <row r="549" spans="2:7" x14ac:dyDescent="0.35">
      <c r="B549" s="58"/>
      <c r="D549" s="53"/>
      <c r="E549" s="54"/>
      <c r="G549" s="56"/>
    </row>
    <row r="550" spans="2:7" x14ac:dyDescent="0.35">
      <c r="B550" s="58"/>
      <c r="D550" s="53"/>
      <c r="E550" s="54"/>
      <c r="G550" s="56"/>
    </row>
    <row r="551" spans="2:7" x14ac:dyDescent="0.35">
      <c r="B551" s="58"/>
      <c r="D551" s="53"/>
      <c r="E551" s="54"/>
      <c r="G551" s="56"/>
    </row>
    <row r="552" spans="2:7" x14ac:dyDescent="0.35">
      <c r="B552" s="58"/>
      <c r="D552" s="53"/>
      <c r="E552" s="54"/>
      <c r="G552" s="56"/>
    </row>
    <row r="553" spans="2:7" x14ac:dyDescent="0.35">
      <c r="B553" s="58"/>
      <c r="D553" s="53"/>
      <c r="E553" s="54"/>
      <c r="G553" s="56"/>
    </row>
    <row r="554" spans="2:7" x14ac:dyDescent="0.35">
      <c r="B554" s="58"/>
      <c r="D554" s="53"/>
      <c r="E554" s="54"/>
      <c r="G554" s="56"/>
    </row>
    <row r="555" spans="2:7" x14ac:dyDescent="0.35">
      <c r="B555" s="58"/>
      <c r="D555" s="53"/>
      <c r="E555" s="54"/>
      <c r="G555" s="56"/>
    </row>
    <row r="556" spans="2:7" x14ac:dyDescent="0.35">
      <c r="B556" s="58"/>
      <c r="D556" s="53"/>
      <c r="E556" s="54"/>
      <c r="G556" s="56"/>
    </row>
    <row r="557" spans="2:7" x14ac:dyDescent="0.35">
      <c r="B557" s="58"/>
      <c r="D557" s="53"/>
      <c r="E557" s="54"/>
      <c r="G557" s="56"/>
    </row>
    <row r="558" spans="2:7" x14ac:dyDescent="0.35">
      <c r="B558" s="58"/>
      <c r="D558" s="53"/>
      <c r="E558" s="54"/>
      <c r="G558" s="56"/>
    </row>
    <row r="559" spans="2:7" x14ac:dyDescent="0.35">
      <c r="B559" s="58"/>
      <c r="D559" s="53"/>
      <c r="E559" s="54"/>
      <c r="G559" s="56"/>
    </row>
    <row r="560" spans="2:7" x14ac:dyDescent="0.35">
      <c r="B560" s="58"/>
      <c r="D560" s="53"/>
      <c r="E560" s="54"/>
      <c r="G560" s="56"/>
    </row>
    <row r="561" spans="2:7" x14ac:dyDescent="0.35">
      <c r="B561" s="58"/>
      <c r="D561" s="53"/>
      <c r="E561" s="54"/>
      <c r="G561" s="56"/>
    </row>
    <row r="562" spans="2:7" x14ac:dyDescent="0.35">
      <c r="B562" s="58"/>
      <c r="D562" s="53"/>
      <c r="E562" s="54"/>
      <c r="G562" s="56"/>
    </row>
    <row r="563" spans="2:7" x14ac:dyDescent="0.35">
      <c r="B563" s="58"/>
      <c r="D563" s="53"/>
      <c r="E563" s="54"/>
      <c r="G563" s="56"/>
    </row>
    <row r="564" spans="2:7" x14ac:dyDescent="0.35">
      <c r="B564" s="58"/>
      <c r="C564" s="61"/>
      <c r="D564" s="53"/>
      <c r="E564" s="54"/>
      <c r="G564" s="56"/>
    </row>
    <row r="565" spans="2:7" x14ac:dyDescent="0.35">
      <c r="B565" s="58"/>
      <c r="C565" s="61"/>
      <c r="D565" s="53"/>
      <c r="E565" s="54"/>
      <c r="G565" s="56"/>
    </row>
    <row r="566" spans="2:7" x14ac:dyDescent="0.35">
      <c r="B566" s="58"/>
      <c r="D566" s="53"/>
      <c r="E566" s="54"/>
      <c r="G566" s="56"/>
    </row>
    <row r="567" spans="2:7" x14ac:dyDescent="0.35">
      <c r="B567" s="58"/>
      <c r="D567" s="53"/>
      <c r="E567" s="54"/>
      <c r="G567" s="56"/>
    </row>
    <row r="568" spans="2:7" x14ac:dyDescent="0.35">
      <c r="B568" s="58"/>
      <c r="D568" s="53"/>
      <c r="E568" s="54"/>
      <c r="G568" s="56"/>
    </row>
    <row r="569" spans="2:7" x14ac:dyDescent="0.35">
      <c r="B569" s="58"/>
      <c r="D569" s="53"/>
      <c r="E569" s="54"/>
      <c r="G569" s="56"/>
    </row>
    <row r="570" spans="2:7" x14ac:dyDescent="0.35">
      <c r="B570" s="58"/>
      <c r="D570" s="53"/>
      <c r="E570" s="54"/>
      <c r="G570" s="56"/>
    </row>
    <row r="571" spans="2:7" x14ac:dyDescent="0.35">
      <c r="B571" s="58"/>
      <c r="D571" s="53"/>
      <c r="E571" s="54"/>
      <c r="G571" s="56"/>
    </row>
    <row r="572" spans="2:7" x14ac:dyDescent="0.35">
      <c r="B572" s="58"/>
      <c r="D572" s="53"/>
      <c r="E572" s="54"/>
      <c r="G572" s="56"/>
    </row>
    <row r="573" spans="2:7" x14ac:dyDescent="0.35">
      <c r="B573" s="58"/>
      <c r="D573" s="53"/>
      <c r="E573" s="54"/>
      <c r="G573" s="56"/>
    </row>
    <row r="574" spans="2:7" x14ac:dyDescent="0.35">
      <c r="B574" s="58"/>
      <c r="D574" s="53"/>
      <c r="E574" s="54"/>
      <c r="G574" s="56"/>
    </row>
    <row r="575" spans="2:7" x14ac:dyDescent="0.35">
      <c r="B575" s="58"/>
      <c r="D575" s="53"/>
      <c r="E575" s="54"/>
      <c r="G575" s="56"/>
    </row>
    <row r="576" spans="2:7" x14ac:dyDescent="0.35">
      <c r="B576" s="58"/>
      <c r="D576" s="53"/>
      <c r="E576" s="54"/>
      <c r="G576" s="56"/>
    </row>
    <row r="577" spans="2:7" x14ac:dyDescent="0.35">
      <c r="B577" s="58"/>
      <c r="D577" s="53"/>
      <c r="E577" s="54"/>
      <c r="G577" s="56"/>
    </row>
    <row r="578" spans="2:7" x14ac:dyDescent="0.35">
      <c r="B578" s="58"/>
      <c r="D578" s="53"/>
      <c r="E578" s="54"/>
      <c r="G578" s="56"/>
    </row>
    <row r="579" spans="2:7" x14ac:dyDescent="0.35">
      <c r="B579" s="58"/>
      <c r="D579" s="53"/>
      <c r="E579" s="54"/>
      <c r="G579" s="56"/>
    </row>
    <row r="580" spans="2:7" x14ac:dyDescent="0.35">
      <c r="B580" s="58"/>
      <c r="D580" s="53"/>
      <c r="E580" s="54"/>
      <c r="G580" s="56"/>
    </row>
    <row r="581" spans="2:7" x14ac:dyDescent="0.35">
      <c r="B581" s="58"/>
      <c r="D581" s="53"/>
      <c r="E581" s="54"/>
      <c r="G581" s="56"/>
    </row>
    <row r="582" spans="2:7" x14ac:dyDescent="0.35">
      <c r="B582" s="58"/>
      <c r="D582" s="53"/>
      <c r="E582" s="54"/>
      <c r="G582" s="56"/>
    </row>
    <row r="583" spans="2:7" x14ac:dyDescent="0.35">
      <c r="B583" s="58"/>
      <c r="D583" s="53"/>
      <c r="E583" s="54"/>
      <c r="G583" s="56"/>
    </row>
    <row r="584" spans="2:7" x14ac:dyDescent="0.35">
      <c r="B584" s="58"/>
      <c r="D584" s="53"/>
      <c r="E584" s="54"/>
      <c r="G584" s="56"/>
    </row>
    <row r="585" spans="2:7" x14ac:dyDescent="0.35">
      <c r="B585" s="58"/>
      <c r="D585" s="53"/>
      <c r="E585" s="54"/>
      <c r="G585" s="56"/>
    </row>
    <row r="586" spans="2:7" x14ac:dyDescent="0.35">
      <c r="B586" s="58"/>
      <c r="D586" s="53"/>
      <c r="E586" s="54"/>
      <c r="G586" s="56"/>
    </row>
    <row r="587" spans="2:7" x14ac:dyDescent="0.35">
      <c r="B587" s="58"/>
      <c r="D587" s="53"/>
      <c r="E587" s="54"/>
      <c r="G587" s="56"/>
    </row>
    <row r="588" spans="2:7" x14ac:dyDescent="0.35">
      <c r="B588" s="58"/>
      <c r="D588" s="53"/>
      <c r="E588" s="54"/>
      <c r="G588" s="56"/>
    </row>
    <row r="589" spans="2:7" x14ac:dyDescent="0.35">
      <c r="B589" s="58"/>
      <c r="D589" s="53"/>
      <c r="E589" s="54"/>
      <c r="G589" s="56"/>
    </row>
    <row r="590" spans="2:7" x14ac:dyDescent="0.35">
      <c r="B590" s="58"/>
      <c r="D590" s="53"/>
      <c r="E590" s="54"/>
      <c r="G590" s="56"/>
    </row>
    <row r="591" spans="2:7" x14ac:dyDescent="0.35">
      <c r="B591" s="58"/>
      <c r="D591" s="53"/>
      <c r="E591" s="54"/>
      <c r="G591" s="56"/>
    </row>
    <row r="592" spans="2:7" x14ac:dyDescent="0.35">
      <c r="B592" s="58"/>
      <c r="D592" s="53"/>
      <c r="E592" s="54"/>
      <c r="G592" s="56"/>
    </row>
    <row r="593" spans="2:7" x14ac:dyDescent="0.35">
      <c r="B593" s="58"/>
      <c r="D593" s="53"/>
      <c r="E593" s="54"/>
      <c r="G593" s="56"/>
    </row>
    <row r="594" spans="2:7" x14ac:dyDescent="0.35">
      <c r="B594" s="58"/>
      <c r="D594" s="53"/>
      <c r="E594" s="54"/>
      <c r="G594" s="56"/>
    </row>
    <row r="595" spans="2:7" x14ac:dyDescent="0.35">
      <c r="B595" s="58"/>
      <c r="D595" s="53"/>
      <c r="E595" s="54"/>
      <c r="G595" s="56"/>
    </row>
    <row r="596" spans="2:7" x14ac:dyDescent="0.35">
      <c r="B596" s="58"/>
      <c r="D596" s="53"/>
      <c r="E596" s="54"/>
      <c r="G596" s="56"/>
    </row>
    <row r="597" spans="2:7" x14ac:dyDescent="0.35">
      <c r="B597" s="58"/>
      <c r="D597" s="53"/>
      <c r="E597" s="54"/>
      <c r="G597" s="56"/>
    </row>
    <row r="598" spans="2:7" x14ac:dyDescent="0.35">
      <c r="B598" s="58"/>
      <c r="D598" s="53"/>
      <c r="E598" s="54"/>
      <c r="G598" s="56"/>
    </row>
    <row r="599" spans="2:7" x14ac:dyDescent="0.35">
      <c r="B599" s="58"/>
      <c r="D599" s="53"/>
      <c r="E599" s="54"/>
      <c r="G599" s="56"/>
    </row>
    <row r="600" spans="2:7" x14ac:dyDescent="0.35">
      <c r="B600" s="58"/>
      <c r="D600" s="53"/>
      <c r="E600" s="54"/>
      <c r="G600" s="56"/>
    </row>
    <row r="601" spans="2:7" x14ac:dyDescent="0.35">
      <c r="B601" s="58"/>
      <c r="D601" s="53"/>
      <c r="E601" s="54"/>
      <c r="G601" s="56"/>
    </row>
    <row r="602" spans="2:7" x14ac:dyDescent="0.35">
      <c r="B602" s="58"/>
      <c r="D602" s="53"/>
      <c r="E602" s="54"/>
      <c r="G602" s="56"/>
    </row>
    <row r="603" spans="2:7" x14ac:dyDescent="0.35">
      <c r="B603" s="58"/>
      <c r="D603" s="53"/>
      <c r="E603" s="54"/>
      <c r="G603" s="56"/>
    </row>
    <row r="604" spans="2:7" x14ac:dyDescent="0.35">
      <c r="B604" s="58"/>
      <c r="D604" s="53"/>
      <c r="E604" s="54"/>
      <c r="G604" s="56"/>
    </row>
    <row r="605" spans="2:7" x14ac:dyDescent="0.35">
      <c r="B605" s="58"/>
      <c r="D605" s="53"/>
      <c r="E605" s="54"/>
      <c r="G605" s="56"/>
    </row>
    <row r="606" spans="2:7" x14ac:dyDescent="0.35">
      <c r="B606" s="58"/>
      <c r="D606" s="53"/>
      <c r="E606" s="54"/>
      <c r="G606" s="56"/>
    </row>
    <row r="607" spans="2:7" x14ac:dyDescent="0.35">
      <c r="B607" s="58"/>
      <c r="D607" s="53"/>
      <c r="E607" s="54"/>
      <c r="G607" s="56"/>
    </row>
    <row r="608" spans="2:7" x14ac:dyDescent="0.35">
      <c r="B608" s="58"/>
      <c r="D608" s="53"/>
      <c r="E608" s="54"/>
      <c r="G608" s="56"/>
    </row>
    <row r="609" spans="2:7" x14ac:dyDescent="0.35">
      <c r="B609" s="58"/>
      <c r="D609" s="53"/>
      <c r="E609" s="54"/>
      <c r="G609" s="56"/>
    </row>
    <row r="610" spans="2:7" x14ac:dyDescent="0.35">
      <c r="B610" s="58"/>
      <c r="D610" s="53"/>
      <c r="E610" s="54"/>
      <c r="G610" s="56"/>
    </row>
    <row r="611" spans="2:7" x14ac:dyDescent="0.35">
      <c r="B611" s="58"/>
      <c r="D611" s="53"/>
      <c r="E611" s="54"/>
      <c r="G611" s="56"/>
    </row>
    <row r="612" spans="2:7" x14ac:dyDescent="0.35">
      <c r="B612" s="58"/>
      <c r="D612" s="53"/>
      <c r="E612" s="54"/>
      <c r="G612" s="56"/>
    </row>
    <row r="613" spans="2:7" x14ac:dyDescent="0.35">
      <c r="B613" s="58"/>
      <c r="D613" s="53"/>
      <c r="E613" s="54"/>
      <c r="G613" s="56"/>
    </row>
    <row r="614" spans="2:7" x14ac:dyDescent="0.35">
      <c r="B614" s="58"/>
      <c r="D614" s="53"/>
      <c r="E614" s="54"/>
      <c r="G614" s="56"/>
    </row>
    <row r="615" spans="2:7" x14ac:dyDescent="0.35">
      <c r="B615" s="58"/>
      <c r="D615" s="53"/>
      <c r="E615" s="54"/>
      <c r="G615" s="56"/>
    </row>
    <row r="616" spans="2:7" x14ac:dyDescent="0.35">
      <c r="B616" s="58"/>
      <c r="D616" s="53"/>
      <c r="E616" s="54"/>
      <c r="G616" s="56"/>
    </row>
    <row r="617" spans="2:7" x14ac:dyDescent="0.35">
      <c r="B617" s="58"/>
      <c r="D617" s="53"/>
      <c r="E617" s="54"/>
      <c r="G617" s="56"/>
    </row>
    <row r="618" spans="2:7" x14ac:dyDescent="0.35">
      <c r="B618" s="58"/>
      <c r="D618" s="53"/>
      <c r="E618" s="54"/>
      <c r="G618" s="56"/>
    </row>
    <row r="619" spans="2:7" x14ac:dyDescent="0.35">
      <c r="B619" s="58"/>
      <c r="D619" s="53"/>
      <c r="E619" s="54"/>
      <c r="G619" s="56"/>
    </row>
    <row r="620" spans="2:7" x14ac:dyDescent="0.35">
      <c r="B620" s="58"/>
      <c r="D620" s="53"/>
      <c r="E620" s="54"/>
      <c r="G620" s="56"/>
    </row>
    <row r="621" spans="2:7" x14ac:dyDescent="0.35">
      <c r="B621" s="58"/>
      <c r="D621" s="53"/>
      <c r="E621" s="54"/>
      <c r="G621" s="56"/>
    </row>
    <row r="622" spans="2:7" x14ac:dyDescent="0.35">
      <c r="B622" s="58"/>
      <c r="D622" s="53"/>
      <c r="E622" s="54"/>
      <c r="G622" s="56"/>
    </row>
    <row r="623" spans="2:7" x14ac:dyDescent="0.35">
      <c r="B623" s="58"/>
      <c r="D623" s="53"/>
      <c r="E623" s="54"/>
      <c r="G623" s="56"/>
    </row>
    <row r="624" spans="2:7" x14ac:dyDescent="0.35">
      <c r="B624" s="58"/>
      <c r="D624" s="53"/>
      <c r="E624" s="54"/>
      <c r="G624" s="56"/>
    </row>
    <row r="625" spans="2:7" x14ac:dyDescent="0.35">
      <c r="B625" s="58"/>
      <c r="D625" s="53"/>
      <c r="E625" s="54"/>
      <c r="G625" s="56"/>
    </row>
    <row r="626" spans="2:7" x14ac:dyDescent="0.35">
      <c r="B626" s="58"/>
      <c r="D626" s="53"/>
      <c r="E626" s="54"/>
      <c r="G626" s="56"/>
    </row>
    <row r="627" spans="2:7" x14ac:dyDescent="0.35">
      <c r="B627" s="58"/>
      <c r="D627" s="53"/>
      <c r="E627" s="54"/>
      <c r="G627" s="56"/>
    </row>
    <row r="628" spans="2:7" x14ac:dyDescent="0.35">
      <c r="B628" s="58"/>
      <c r="D628" s="53"/>
      <c r="E628" s="54"/>
      <c r="G628" s="56"/>
    </row>
    <row r="629" spans="2:7" x14ac:dyDescent="0.35">
      <c r="B629" s="58"/>
      <c r="D629" s="53"/>
      <c r="E629" s="54"/>
      <c r="G629" s="56"/>
    </row>
    <row r="630" spans="2:7" x14ac:dyDescent="0.35">
      <c r="B630" s="58"/>
      <c r="D630" s="53"/>
      <c r="E630" s="54"/>
      <c r="G630" s="56"/>
    </row>
    <row r="631" spans="2:7" x14ac:dyDescent="0.35">
      <c r="B631" s="58"/>
      <c r="D631" s="53"/>
      <c r="E631" s="54"/>
      <c r="G631" s="56"/>
    </row>
    <row r="632" spans="2:7" x14ac:dyDescent="0.35">
      <c r="B632" s="58"/>
      <c r="D632" s="53"/>
      <c r="E632" s="54"/>
      <c r="G632" s="56"/>
    </row>
    <row r="633" spans="2:7" x14ac:dyDescent="0.35">
      <c r="B633" s="58"/>
      <c r="D633" s="53"/>
      <c r="E633" s="54"/>
      <c r="G633" s="56"/>
    </row>
    <row r="634" spans="2:7" x14ac:dyDescent="0.35">
      <c r="B634" s="58"/>
      <c r="D634" s="53"/>
      <c r="E634" s="54"/>
      <c r="G634" s="56"/>
    </row>
    <row r="635" spans="2:7" x14ac:dyDescent="0.35">
      <c r="B635" s="58"/>
      <c r="D635" s="53"/>
      <c r="E635" s="54"/>
      <c r="G635" s="56"/>
    </row>
    <row r="636" spans="2:7" x14ac:dyDescent="0.35">
      <c r="B636" s="58"/>
      <c r="D636" s="53"/>
      <c r="E636" s="54"/>
      <c r="G636" s="56"/>
    </row>
    <row r="637" spans="2:7" x14ac:dyDescent="0.35">
      <c r="B637" s="58"/>
      <c r="D637" s="53"/>
      <c r="E637" s="54"/>
      <c r="G637" s="56"/>
    </row>
    <row r="638" spans="2:7" x14ac:dyDescent="0.35">
      <c r="B638" s="58"/>
      <c r="D638" s="53"/>
      <c r="E638" s="54"/>
      <c r="G638" s="56"/>
    </row>
    <row r="639" spans="2:7" x14ac:dyDescent="0.35">
      <c r="B639" s="58"/>
      <c r="D639" s="53"/>
      <c r="E639" s="54"/>
      <c r="G639" s="56"/>
    </row>
    <row r="640" spans="2:7" x14ac:dyDescent="0.35">
      <c r="B640" s="58"/>
      <c r="D640" s="53"/>
      <c r="E640" s="54"/>
      <c r="G640" s="56"/>
    </row>
    <row r="641" spans="2:7" x14ac:dyDescent="0.35">
      <c r="B641" s="58"/>
      <c r="D641" s="53"/>
      <c r="E641" s="54"/>
      <c r="G641" s="56"/>
    </row>
    <row r="642" spans="2:7" x14ac:dyDescent="0.35">
      <c r="B642" s="58"/>
      <c r="D642" s="53"/>
      <c r="E642" s="54"/>
      <c r="G642" s="56"/>
    </row>
    <row r="643" spans="2:7" x14ac:dyDescent="0.35">
      <c r="B643" s="58"/>
      <c r="D643" s="53"/>
      <c r="E643" s="54"/>
      <c r="G643" s="56"/>
    </row>
    <row r="644" spans="2:7" x14ac:dyDescent="0.35">
      <c r="B644" s="58"/>
      <c r="D644" s="53"/>
      <c r="E644" s="54"/>
      <c r="G644" s="56"/>
    </row>
    <row r="645" spans="2:7" x14ac:dyDescent="0.35">
      <c r="B645" s="58"/>
      <c r="D645" s="53"/>
      <c r="E645" s="54"/>
      <c r="G645" s="56"/>
    </row>
    <row r="646" spans="2:7" x14ac:dyDescent="0.35">
      <c r="B646" s="58"/>
      <c r="D646" s="53"/>
      <c r="E646" s="54"/>
      <c r="G646" s="56"/>
    </row>
    <row r="647" spans="2:7" x14ac:dyDescent="0.35">
      <c r="B647" s="58"/>
      <c r="D647" s="53"/>
      <c r="E647" s="54"/>
      <c r="G647" s="56"/>
    </row>
    <row r="648" spans="2:7" x14ac:dyDescent="0.35">
      <c r="B648" s="58"/>
      <c r="D648" s="53"/>
      <c r="E648" s="54"/>
      <c r="G648" s="56"/>
    </row>
    <row r="649" spans="2:7" x14ac:dyDescent="0.35">
      <c r="B649" s="58"/>
      <c r="D649" s="53"/>
      <c r="E649" s="54"/>
      <c r="G649" s="56"/>
    </row>
    <row r="650" spans="2:7" x14ac:dyDescent="0.35">
      <c r="B650" s="58"/>
      <c r="D650" s="53"/>
      <c r="E650" s="54"/>
      <c r="G650" s="56"/>
    </row>
    <row r="651" spans="2:7" x14ac:dyDescent="0.35">
      <c r="B651" s="58"/>
      <c r="D651" s="53"/>
      <c r="E651" s="54"/>
      <c r="G651" s="56"/>
    </row>
    <row r="652" spans="2:7" x14ac:dyDescent="0.35">
      <c r="B652" s="58"/>
      <c r="D652" s="53"/>
      <c r="E652" s="54"/>
      <c r="G652" s="56"/>
    </row>
    <row r="653" spans="2:7" x14ac:dyDescent="0.35">
      <c r="B653" s="58"/>
      <c r="D653" s="53"/>
      <c r="E653" s="54"/>
      <c r="G653" s="56"/>
    </row>
    <row r="654" spans="2:7" x14ac:dyDescent="0.35">
      <c r="B654" s="58"/>
      <c r="D654" s="53"/>
      <c r="E654" s="54"/>
      <c r="G654" s="56"/>
    </row>
    <row r="655" spans="2:7" x14ac:dyDescent="0.35">
      <c r="B655" s="58"/>
      <c r="D655" s="53"/>
      <c r="E655" s="54"/>
      <c r="G655" s="56"/>
    </row>
    <row r="656" spans="2:7" x14ac:dyDescent="0.35">
      <c r="B656" s="58"/>
      <c r="D656" s="53"/>
      <c r="E656" s="54"/>
      <c r="G656" s="56"/>
    </row>
    <row r="657" spans="2:7" x14ac:dyDescent="0.35">
      <c r="B657" s="58"/>
      <c r="D657" s="53"/>
      <c r="E657" s="54"/>
      <c r="G657" s="56"/>
    </row>
    <row r="658" spans="2:7" x14ac:dyDescent="0.35">
      <c r="B658" s="58"/>
      <c r="D658" s="53"/>
      <c r="E658" s="54"/>
      <c r="G658" s="56"/>
    </row>
    <row r="659" spans="2:7" x14ac:dyDescent="0.35">
      <c r="B659" s="58"/>
      <c r="D659" s="53"/>
      <c r="E659" s="54"/>
      <c r="G659" s="56"/>
    </row>
    <row r="660" spans="2:7" x14ac:dyDescent="0.35">
      <c r="B660" s="58"/>
      <c r="D660" s="53"/>
      <c r="E660" s="54"/>
      <c r="G660" s="56"/>
    </row>
    <row r="661" spans="2:7" x14ac:dyDescent="0.35">
      <c r="B661" s="58"/>
      <c r="D661" s="53"/>
      <c r="E661" s="54"/>
      <c r="G661" s="56"/>
    </row>
    <row r="662" spans="2:7" x14ac:dyDescent="0.35">
      <c r="B662" s="58"/>
      <c r="D662" s="53"/>
      <c r="E662" s="54"/>
      <c r="G662" s="56"/>
    </row>
    <row r="663" spans="2:7" x14ac:dyDescent="0.35">
      <c r="B663" s="58"/>
      <c r="D663" s="53"/>
      <c r="E663" s="54"/>
      <c r="G663" s="56"/>
    </row>
    <row r="664" spans="2:7" x14ac:dyDescent="0.35">
      <c r="B664" s="58"/>
      <c r="D664" s="53"/>
      <c r="E664" s="54"/>
      <c r="G664" s="56"/>
    </row>
    <row r="665" spans="2:7" x14ac:dyDescent="0.35">
      <c r="B665" s="58"/>
      <c r="D665" s="53"/>
      <c r="E665" s="54"/>
      <c r="G665" s="56"/>
    </row>
    <row r="666" spans="2:7" x14ac:dyDescent="0.35">
      <c r="B666" s="58"/>
      <c r="D666" s="53"/>
      <c r="E666" s="54"/>
      <c r="G666" s="56"/>
    </row>
    <row r="667" spans="2:7" x14ac:dyDescent="0.35">
      <c r="B667" s="58"/>
      <c r="D667" s="53"/>
      <c r="E667" s="54"/>
      <c r="G667" s="56"/>
    </row>
    <row r="668" spans="2:7" x14ac:dyDescent="0.35">
      <c r="B668" s="58"/>
      <c r="D668" s="53"/>
      <c r="E668" s="54"/>
      <c r="G668" s="56"/>
    </row>
    <row r="669" spans="2:7" x14ac:dyDescent="0.35">
      <c r="B669" s="58"/>
      <c r="D669" s="53"/>
      <c r="E669" s="54"/>
      <c r="G669" s="56"/>
    </row>
    <row r="670" spans="2:7" x14ac:dyDescent="0.35">
      <c r="B670" s="58"/>
      <c r="D670" s="53"/>
      <c r="E670" s="54"/>
      <c r="G670" s="56"/>
    </row>
    <row r="671" spans="2:7" x14ac:dyDescent="0.35">
      <c r="B671" s="58"/>
      <c r="D671" s="53"/>
      <c r="E671" s="54"/>
      <c r="G671" s="56"/>
    </row>
    <row r="672" spans="2:7" x14ac:dyDescent="0.35">
      <c r="B672" s="58"/>
      <c r="D672" s="53"/>
      <c r="E672" s="54"/>
      <c r="G672" s="56"/>
    </row>
    <row r="673" spans="2:7" x14ac:dyDescent="0.35">
      <c r="B673" s="58"/>
      <c r="D673" s="53"/>
      <c r="E673" s="54"/>
      <c r="G673" s="56"/>
    </row>
    <row r="674" spans="2:7" x14ac:dyDescent="0.35">
      <c r="B674" s="58"/>
      <c r="D674" s="53"/>
      <c r="E674" s="54"/>
      <c r="G674" s="56"/>
    </row>
    <row r="675" spans="2:7" x14ac:dyDescent="0.35">
      <c r="B675" s="58"/>
      <c r="D675" s="53"/>
      <c r="E675" s="54"/>
      <c r="G675" s="56"/>
    </row>
    <row r="676" spans="2:7" x14ac:dyDescent="0.35">
      <c r="B676" s="58"/>
      <c r="D676" s="53"/>
      <c r="E676" s="54"/>
      <c r="G676" s="56"/>
    </row>
    <row r="677" spans="2:7" x14ac:dyDescent="0.35">
      <c r="B677" s="58"/>
      <c r="D677" s="53"/>
      <c r="E677" s="54"/>
      <c r="G677" s="56"/>
    </row>
    <row r="678" spans="2:7" x14ac:dyDescent="0.35">
      <c r="B678" s="58"/>
      <c r="C678" s="61"/>
      <c r="D678" s="53"/>
      <c r="E678" s="54"/>
      <c r="G678" s="56"/>
    </row>
    <row r="679" spans="2:7" x14ac:dyDescent="0.35">
      <c r="B679" s="58"/>
      <c r="D679" s="53"/>
      <c r="E679" s="54"/>
      <c r="G679" s="56"/>
    </row>
    <row r="680" spans="2:7" x14ac:dyDescent="0.35">
      <c r="B680" s="58"/>
      <c r="D680" s="53"/>
      <c r="E680" s="54"/>
      <c r="G680" s="56"/>
    </row>
    <row r="681" spans="2:7" x14ac:dyDescent="0.35">
      <c r="B681" s="58"/>
      <c r="C681" s="61"/>
      <c r="D681" s="53"/>
      <c r="E681" s="54"/>
      <c r="G681" s="56"/>
    </row>
    <row r="682" spans="2:7" x14ac:dyDescent="0.35">
      <c r="B682" s="58"/>
      <c r="C682" s="61"/>
      <c r="D682" s="53"/>
      <c r="E682" s="54"/>
      <c r="G682" s="56"/>
    </row>
    <row r="683" spans="2:7" x14ac:dyDescent="0.35">
      <c r="B683" s="58"/>
      <c r="D683" s="53"/>
      <c r="E683" s="54"/>
      <c r="G683" s="56"/>
    </row>
    <row r="684" spans="2:7" x14ac:dyDescent="0.35">
      <c r="B684" s="58"/>
      <c r="D684" s="53"/>
      <c r="E684" s="54"/>
      <c r="G684" s="56"/>
    </row>
    <row r="685" spans="2:7" x14ac:dyDescent="0.35">
      <c r="B685" s="58"/>
      <c r="D685" s="53"/>
      <c r="E685" s="54"/>
      <c r="G685" s="56"/>
    </row>
    <row r="686" spans="2:7" x14ac:dyDescent="0.35">
      <c r="B686" s="58"/>
      <c r="D686" s="53"/>
      <c r="E686" s="54"/>
      <c r="G686" s="56"/>
    </row>
    <row r="687" spans="2:7" x14ac:dyDescent="0.35">
      <c r="B687" s="58"/>
      <c r="D687" s="53"/>
      <c r="E687" s="54"/>
      <c r="G687" s="56"/>
    </row>
    <row r="688" spans="2:7" x14ac:dyDescent="0.35">
      <c r="B688" s="58"/>
      <c r="D688" s="53"/>
      <c r="E688" s="54"/>
      <c r="G688" s="56"/>
    </row>
    <row r="689" spans="2:7" x14ac:dyDescent="0.35">
      <c r="B689" s="58"/>
      <c r="D689" s="53"/>
      <c r="E689" s="54"/>
      <c r="G689" s="56"/>
    </row>
    <row r="690" spans="2:7" x14ac:dyDescent="0.35">
      <c r="B690" s="58"/>
      <c r="D690" s="53"/>
      <c r="E690" s="54"/>
      <c r="G690" s="56"/>
    </row>
    <row r="691" spans="2:7" x14ac:dyDescent="0.35">
      <c r="B691" s="58"/>
      <c r="D691" s="53"/>
      <c r="E691" s="54"/>
      <c r="G691" s="56"/>
    </row>
    <row r="692" spans="2:7" x14ac:dyDescent="0.35">
      <c r="B692" s="58"/>
      <c r="D692" s="53"/>
      <c r="E692" s="54"/>
      <c r="G692" s="56"/>
    </row>
    <row r="693" spans="2:7" x14ac:dyDescent="0.35">
      <c r="B693" s="58"/>
      <c r="D693" s="53"/>
      <c r="E693" s="54"/>
      <c r="G693" s="56"/>
    </row>
    <row r="694" spans="2:7" x14ac:dyDescent="0.35">
      <c r="B694" s="58"/>
      <c r="D694" s="53"/>
      <c r="E694" s="54"/>
      <c r="G694" s="56"/>
    </row>
    <row r="695" spans="2:7" x14ac:dyDescent="0.35">
      <c r="B695" s="58"/>
      <c r="D695" s="53"/>
      <c r="E695" s="54"/>
      <c r="G695" s="56"/>
    </row>
    <row r="696" spans="2:7" x14ac:dyDescent="0.35">
      <c r="B696" s="58"/>
      <c r="D696" s="53"/>
      <c r="E696" s="54"/>
      <c r="G696" s="56"/>
    </row>
    <row r="697" spans="2:7" x14ac:dyDescent="0.35">
      <c r="B697" s="58"/>
      <c r="D697" s="53"/>
      <c r="E697" s="54"/>
      <c r="G697" s="56"/>
    </row>
    <row r="698" spans="2:7" x14ac:dyDescent="0.35">
      <c r="B698" s="58"/>
      <c r="D698" s="53"/>
      <c r="E698" s="54"/>
      <c r="G698" s="56"/>
    </row>
    <row r="699" spans="2:7" x14ac:dyDescent="0.35">
      <c r="B699" s="58"/>
      <c r="D699" s="53"/>
      <c r="E699" s="54"/>
      <c r="G699" s="56"/>
    </row>
    <row r="700" spans="2:7" x14ac:dyDescent="0.35">
      <c r="B700" s="58"/>
      <c r="D700" s="53"/>
      <c r="E700" s="54"/>
      <c r="G700" s="56"/>
    </row>
    <row r="701" spans="2:7" x14ac:dyDescent="0.35">
      <c r="B701" s="58"/>
      <c r="D701" s="53"/>
      <c r="E701" s="54"/>
      <c r="G701" s="56"/>
    </row>
    <row r="702" spans="2:7" x14ac:dyDescent="0.35">
      <c r="B702" s="58"/>
      <c r="D702" s="53"/>
      <c r="E702" s="54"/>
      <c r="G702" s="56"/>
    </row>
    <row r="703" spans="2:7" x14ac:dyDescent="0.35">
      <c r="B703" s="58"/>
      <c r="D703" s="53"/>
      <c r="E703" s="54"/>
      <c r="G703" s="56"/>
    </row>
    <row r="704" spans="2:7" x14ac:dyDescent="0.35">
      <c r="B704" s="58"/>
      <c r="D704" s="53"/>
      <c r="E704" s="54"/>
      <c r="G704" s="56"/>
    </row>
    <row r="705" spans="2:7" x14ac:dyDescent="0.35">
      <c r="B705" s="58"/>
      <c r="D705" s="53"/>
      <c r="E705" s="54"/>
      <c r="G705" s="56"/>
    </row>
    <row r="706" spans="2:7" x14ac:dyDescent="0.35">
      <c r="B706" s="58"/>
      <c r="D706" s="53"/>
      <c r="E706" s="54"/>
      <c r="G706" s="56"/>
    </row>
    <row r="707" spans="2:7" x14ac:dyDescent="0.35">
      <c r="B707" s="58"/>
      <c r="D707" s="53"/>
      <c r="E707" s="54"/>
      <c r="G707" s="56"/>
    </row>
    <row r="708" spans="2:7" x14ac:dyDescent="0.35">
      <c r="B708" s="58"/>
      <c r="D708" s="53"/>
      <c r="E708" s="54"/>
      <c r="G708" s="56"/>
    </row>
    <row r="709" spans="2:7" x14ac:dyDescent="0.35">
      <c r="B709" s="58"/>
      <c r="D709" s="53"/>
      <c r="E709" s="54"/>
      <c r="G709" s="56"/>
    </row>
    <row r="710" spans="2:7" x14ac:dyDescent="0.35">
      <c r="B710" s="58"/>
      <c r="D710" s="53"/>
      <c r="E710" s="54"/>
      <c r="G710" s="56"/>
    </row>
    <row r="711" spans="2:7" x14ac:dyDescent="0.35">
      <c r="B711" s="58"/>
      <c r="D711" s="53"/>
      <c r="E711" s="54"/>
      <c r="G711" s="56"/>
    </row>
    <row r="712" spans="2:7" x14ac:dyDescent="0.35">
      <c r="B712" s="58"/>
      <c r="D712" s="53"/>
      <c r="E712" s="54"/>
      <c r="G712" s="56"/>
    </row>
    <row r="713" spans="2:7" x14ac:dyDescent="0.35">
      <c r="B713" s="58"/>
      <c r="D713" s="53"/>
      <c r="E713" s="54"/>
      <c r="G713" s="56"/>
    </row>
    <row r="714" spans="2:7" x14ac:dyDescent="0.35">
      <c r="B714" s="58"/>
      <c r="D714" s="53"/>
      <c r="E714" s="54"/>
      <c r="G714" s="56"/>
    </row>
    <row r="715" spans="2:7" x14ac:dyDescent="0.35">
      <c r="B715" s="58"/>
      <c r="D715" s="53"/>
      <c r="E715" s="54"/>
      <c r="G715" s="56"/>
    </row>
    <row r="716" spans="2:7" x14ac:dyDescent="0.35">
      <c r="B716" s="58"/>
      <c r="D716" s="53"/>
      <c r="E716" s="54"/>
      <c r="G716" s="56"/>
    </row>
    <row r="717" spans="2:7" x14ac:dyDescent="0.35">
      <c r="B717" s="58"/>
      <c r="D717" s="53"/>
      <c r="E717" s="54"/>
      <c r="G717" s="56"/>
    </row>
    <row r="718" spans="2:7" x14ac:dyDescent="0.35">
      <c r="B718" s="58"/>
      <c r="D718" s="53"/>
      <c r="E718" s="54"/>
      <c r="G718" s="56"/>
    </row>
    <row r="719" spans="2:7" x14ac:dyDescent="0.35">
      <c r="B719" s="58"/>
      <c r="D719" s="53"/>
      <c r="E719" s="54"/>
      <c r="G719" s="56"/>
    </row>
    <row r="720" spans="2:7" x14ac:dyDescent="0.35">
      <c r="B720" s="58"/>
      <c r="D720" s="53"/>
      <c r="E720" s="54"/>
      <c r="G720" s="56"/>
    </row>
    <row r="721" spans="2:7" x14ac:dyDescent="0.35">
      <c r="B721" s="58"/>
      <c r="D721" s="53"/>
      <c r="E721" s="54"/>
      <c r="G721" s="56"/>
    </row>
    <row r="722" spans="2:7" x14ac:dyDescent="0.35">
      <c r="B722" s="58"/>
      <c r="D722" s="53"/>
      <c r="E722" s="54"/>
      <c r="G722" s="56"/>
    </row>
    <row r="723" spans="2:7" x14ac:dyDescent="0.35">
      <c r="B723" s="58"/>
      <c r="C723" s="60"/>
      <c r="D723" s="53"/>
      <c r="E723" s="54"/>
      <c r="G723" s="56"/>
    </row>
    <row r="724" spans="2:7" x14ac:dyDescent="0.35">
      <c r="B724" s="58"/>
      <c r="D724" s="53"/>
      <c r="E724" s="54"/>
      <c r="G724" s="56"/>
    </row>
    <row r="725" spans="2:7" x14ac:dyDescent="0.35">
      <c r="B725" s="58"/>
      <c r="D725" s="53"/>
      <c r="E725" s="54"/>
      <c r="G725" s="56"/>
    </row>
    <row r="726" spans="2:7" x14ac:dyDescent="0.35">
      <c r="B726" s="58"/>
      <c r="D726" s="53"/>
      <c r="E726" s="54"/>
      <c r="G726" s="56"/>
    </row>
    <row r="727" spans="2:7" x14ac:dyDescent="0.35">
      <c r="B727" s="58"/>
      <c r="D727" s="53"/>
      <c r="E727" s="54"/>
      <c r="G727" s="56"/>
    </row>
    <row r="728" spans="2:7" x14ac:dyDescent="0.35">
      <c r="B728" s="58"/>
      <c r="D728" s="53"/>
      <c r="E728" s="54"/>
      <c r="G728" s="56"/>
    </row>
    <row r="729" spans="2:7" x14ac:dyDescent="0.35">
      <c r="B729" s="58"/>
      <c r="C729" s="59"/>
      <c r="D729" s="53"/>
      <c r="E729" s="54"/>
      <c r="G729" s="56"/>
    </row>
    <row r="730" spans="2:7" x14ac:dyDescent="0.35">
      <c r="B730" s="58"/>
      <c r="D730" s="53"/>
      <c r="E730" s="54"/>
      <c r="G730" s="56"/>
    </row>
    <row r="731" spans="2:7" x14ac:dyDescent="0.35">
      <c r="B731" s="58"/>
      <c r="C731" s="61"/>
      <c r="D731" s="53"/>
      <c r="E731" s="54"/>
      <c r="G731" s="56"/>
    </row>
    <row r="732" spans="2:7" x14ac:dyDescent="0.35">
      <c r="B732" s="58"/>
      <c r="C732" s="61"/>
      <c r="D732" s="53"/>
      <c r="E732" s="54"/>
      <c r="G732" s="56"/>
    </row>
    <row r="733" spans="2:7" x14ac:dyDescent="0.35">
      <c r="B733" s="58"/>
      <c r="D733" s="53"/>
      <c r="E733" s="54"/>
      <c r="G733" s="56"/>
    </row>
    <row r="734" spans="2:7" x14ac:dyDescent="0.35">
      <c r="B734" s="58"/>
      <c r="D734" s="53"/>
      <c r="E734" s="54"/>
      <c r="G734" s="56"/>
    </row>
    <row r="735" spans="2:7" x14ac:dyDescent="0.35">
      <c r="B735" s="58"/>
      <c r="D735" s="53"/>
      <c r="E735" s="54"/>
      <c r="G735" s="56"/>
    </row>
    <row r="736" spans="2:7" x14ac:dyDescent="0.35">
      <c r="B736" s="58"/>
      <c r="D736" s="53"/>
      <c r="E736" s="54"/>
      <c r="G736" s="56"/>
    </row>
    <row r="737" spans="2:7" x14ac:dyDescent="0.35">
      <c r="B737" s="58"/>
      <c r="D737" s="53"/>
      <c r="E737" s="54"/>
      <c r="G737" s="56"/>
    </row>
    <row r="738" spans="2:7" x14ac:dyDescent="0.35">
      <c r="B738" s="58"/>
      <c r="D738" s="53"/>
      <c r="E738" s="54"/>
      <c r="G738" s="56"/>
    </row>
    <row r="739" spans="2:7" x14ac:dyDescent="0.35">
      <c r="B739" s="58"/>
      <c r="D739" s="53"/>
      <c r="E739" s="54"/>
      <c r="G739" s="56"/>
    </row>
    <row r="740" spans="2:7" x14ac:dyDescent="0.35">
      <c r="B740" s="58"/>
      <c r="D740" s="53"/>
      <c r="E740" s="54"/>
      <c r="G740" s="56"/>
    </row>
    <row r="741" spans="2:7" x14ac:dyDescent="0.35">
      <c r="B741" s="58"/>
      <c r="D741" s="53"/>
      <c r="E741" s="54"/>
      <c r="G741" s="56"/>
    </row>
    <row r="742" spans="2:7" x14ac:dyDescent="0.35">
      <c r="B742" s="58"/>
      <c r="D742" s="53"/>
      <c r="E742" s="54"/>
      <c r="G742" s="56"/>
    </row>
  </sheetData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F5DF1-F7C0-4787-8D43-9B8DD6009681}">
  <dimension ref="A1:P9"/>
  <sheetViews>
    <sheetView workbookViewId="0">
      <selection activeCell="F5" sqref="F5"/>
    </sheetView>
  </sheetViews>
  <sheetFormatPr defaultRowHeight="18.75" x14ac:dyDescent="0.3"/>
  <cols>
    <col min="1" max="10" width="9.140625" style="71"/>
    <col min="11" max="11" width="24.7109375" style="71" bestFit="1" customWidth="1"/>
    <col min="12" max="14" width="16.28515625" style="71" customWidth="1"/>
    <col min="15" max="15" width="18" style="71" customWidth="1"/>
    <col min="16" max="16" width="14.5703125" style="71" customWidth="1"/>
    <col min="17" max="17" width="15" style="71" bestFit="1" customWidth="1"/>
    <col min="18" max="16384" width="9.140625" style="71"/>
  </cols>
  <sheetData>
    <row r="1" spans="1:16" x14ac:dyDescent="0.3">
      <c r="A1" s="117" t="s">
        <v>450</v>
      </c>
      <c r="K1" s="118" t="s">
        <v>0</v>
      </c>
      <c r="L1" s="119" t="s">
        <v>289</v>
      </c>
      <c r="M1" s="120" t="s">
        <v>4</v>
      </c>
      <c r="N1" s="121" t="s">
        <v>290</v>
      </c>
      <c r="O1" s="122" t="s">
        <v>291</v>
      </c>
      <c r="P1" s="122" t="s">
        <v>363</v>
      </c>
    </row>
    <row r="2" spans="1:16" x14ac:dyDescent="0.3">
      <c r="A2" s="71" t="s">
        <v>451</v>
      </c>
      <c r="K2" s="177" t="s">
        <v>292</v>
      </c>
      <c r="L2" s="177">
        <v>36952</v>
      </c>
      <c r="M2" s="177">
        <f ca="1">DATEDIF(L2,TODAY(),"Y")</f>
        <v>20</v>
      </c>
      <c r="N2" s="177">
        <v>239900</v>
      </c>
      <c r="O2" s="177">
        <v>190000</v>
      </c>
      <c r="P2" s="177">
        <v>-49900</v>
      </c>
    </row>
    <row r="3" spans="1:16" x14ac:dyDescent="0.3">
      <c r="A3" s="71" t="s">
        <v>452</v>
      </c>
      <c r="K3" s="177" t="s">
        <v>293</v>
      </c>
      <c r="L3" s="177">
        <v>34159</v>
      </c>
      <c r="M3" s="177">
        <f ca="1">DATEDIF(L3,TODAY(),"Y")</f>
        <v>27</v>
      </c>
      <c r="N3" s="177">
        <v>290200</v>
      </c>
      <c r="O3" s="177">
        <v>202400</v>
      </c>
      <c r="P3" s="177">
        <v>-87800</v>
      </c>
    </row>
    <row r="4" spans="1:16" x14ac:dyDescent="0.3">
      <c r="A4" s="71" t="s">
        <v>453</v>
      </c>
      <c r="K4" s="177" t="s">
        <v>294</v>
      </c>
      <c r="L4" s="177">
        <v>35772</v>
      </c>
      <c r="M4" s="177">
        <f ca="1">DATEDIF(L4,TODAY(),"Y")</f>
        <v>23</v>
      </c>
      <c r="N4" s="177">
        <v>202200</v>
      </c>
      <c r="O4" s="177">
        <v>150700</v>
      </c>
      <c r="P4" s="177">
        <v>-51500</v>
      </c>
    </row>
    <row r="5" spans="1:16" x14ac:dyDescent="0.3">
      <c r="F5" s="177"/>
      <c r="K5" s="177" t="s">
        <v>27</v>
      </c>
      <c r="L5" s="177">
        <v>39744</v>
      </c>
      <c r="M5" s="177">
        <f ca="1">DATEDIF(L5,TODAY(),"Y")</f>
        <v>12</v>
      </c>
      <c r="N5" s="177">
        <v>342600</v>
      </c>
      <c r="O5" s="177">
        <v>175900</v>
      </c>
      <c r="P5" s="177">
        <v>-166700</v>
      </c>
    </row>
    <row r="6" spans="1:16" x14ac:dyDescent="0.3">
      <c r="K6" s="154"/>
      <c r="L6" s="153"/>
      <c r="M6" s="153"/>
      <c r="N6" s="153"/>
      <c r="O6" s="156"/>
      <c r="P6" s="156"/>
    </row>
    <row r="7" spans="1:16" x14ac:dyDescent="0.3">
      <c r="O7" s="71" t="s">
        <v>454</v>
      </c>
    </row>
    <row r="9" spans="1:16" x14ac:dyDescent="0.3">
      <c r="A9" s="71" t="s">
        <v>391</v>
      </c>
    </row>
  </sheetData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711F1-6B5B-40F5-A859-3C5BE44F3F3A}">
  <dimension ref="A1:T48"/>
  <sheetViews>
    <sheetView workbookViewId="0">
      <selection activeCell="F4" sqref="F4"/>
    </sheetView>
  </sheetViews>
  <sheetFormatPr defaultColWidth="9.140625" defaultRowHeight="18.75" x14ac:dyDescent="0.3"/>
  <cols>
    <col min="1" max="1" width="24.42578125" style="70" bestFit="1" customWidth="1"/>
    <col min="2" max="4" width="11.28515625" style="70" bestFit="1" customWidth="1"/>
    <col min="5" max="5" width="12.7109375" style="70" bestFit="1" customWidth="1" collapsed="1"/>
    <col min="6" max="8" width="11.28515625" style="70" bestFit="1" customWidth="1"/>
    <col min="9" max="9" width="12.7109375" style="70" bestFit="1" customWidth="1" collapsed="1"/>
    <col min="10" max="12" width="11.28515625" style="70" bestFit="1" customWidth="1"/>
    <col min="13" max="13" width="12.7109375" style="70" bestFit="1" customWidth="1" collapsed="1"/>
    <col min="14" max="16" width="11.28515625" style="70" bestFit="1" customWidth="1"/>
    <col min="17" max="17" width="12.7109375" style="70" bestFit="1" customWidth="1" collapsed="1"/>
    <col min="18" max="18" width="12.7109375" style="70" bestFit="1" customWidth="1"/>
    <col min="19" max="20" width="0" style="70" hidden="1" customWidth="1"/>
    <col min="21" max="21" width="0" style="71" hidden="1" customWidth="1"/>
    <col min="22" max="16376" width="9.140625" style="71"/>
    <col min="16377" max="16384" width="20" style="71" customWidth="1"/>
  </cols>
  <sheetData>
    <row r="1" spans="1:18" x14ac:dyDescent="0.3">
      <c r="A1" s="2" t="s">
        <v>295</v>
      </c>
      <c r="B1" s="2"/>
      <c r="C1" s="2"/>
      <c r="D1" s="66"/>
      <c r="E1" s="67"/>
      <c r="F1" s="68"/>
      <c r="G1" s="66"/>
      <c r="H1" s="66"/>
      <c r="I1" s="67"/>
      <c r="J1" s="68"/>
      <c r="K1" s="66"/>
      <c r="L1" s="66"/>
      <c r="M1" s="67"/>
      <c r="N1" s="68"/>
      <c r="O1" s="66"/>
      <c r="P1" s="66"/>
      <c r="Q1" s="67"/>
      <c r="R1" s="69"/>
    </row>
    <row r="2" spans="1:18" ht="19.5" thickBot="1" x14ac:dyDescent="0.35">
      <c r="A2" s="72"/>
      <c r="B2" s="73" t="s">
        <v>296</v>
      </c>
      <c r="C2" s="73" t="s">
        <v>297</v>
      </c>
      <c r="D2" s="73" t="s">
        <v>298</v>
      </c>
      <c r="E2" s="74" t="s">
        <v>299</v>
      </c>
      <c r="F2" s="73" t="s">
        <v>300</v>
      </c>
      <c r="G2" s="73" t="s">
        <v>301</v>
      </c>
      <c r="H2" s="73" t="s">
        <v>302</v>
      </c>
      <c r="I2" s="74" t="s">
        <v>303</v>
      </c>
      <c r="J2" s="73" t="s">
        <v>304</v>
      </c>
      <c r="K2" s="73" t="s">
        <v>305</v>
      </c>
      <c r="L2" s="73" t="s">
        <v>306</v>
      </c>
      <c r="M2" s="74" t="s">
        <v>307</v>
      </c>
      <c r="N2" s="73" t="s">
        <v>308</v>
      </c>
      <c r="O2" s="73" t="s">
        <v>309</v>
      </c>
      <c r="P2" s="73" t="s">
        <v>310</v>
      </c>
      <c r="Q2" s="74" t="s">
        <v>311</v>
      </c>
      <c r="R2" s="75" t="s">
        <v>312</v>
      </c>
    </row>
    <row r="3" spans="1:18" x14ac:dyDescent="0.3">
      <c r="A3" s="76" t="s">
        <v>313</v>
      </c>
      <c r="B3" s="77">
        <v>0.01</v>
      </c>
      <c r="C3" s="77"/>
      <c r="D3" s="77"/>
      <c r="E3" s="78"/>
      <c r="F3" s="79">
        <v>0.03</v>
      </c>
      <c r="G3" s="79"/>
      <c r="H3" s="79"/>
      <c r="I3" s="78"/>
      <c r="J3" s="79">
        <v>0.02</v>
      </c>
      <c r="K3" s="79"/>
      <c r="L3" s="79"/>
      <c r="M3" s="78"/>
      <c r="N3" s="79">
        <v>0.03</v>
      </c>
      <c r="O3" s="79"/>
      <c r="P3" s="79"/>
      <c r="Q3" s="78"/>
      <c r="R3" s="80"/>
    </row>
    <row r="4" spans="1:18" x14ac:dyDescent="0.3">
      <c r="A4" s="81" t="s">
        <v>314</v>
      </c>
      <c r="B4" s="82">
        <v>548000</v>
      </c>
      <c r="C4" s="82">
        <v>553480</v>
      </c>
      <c r="D4" s="82">
        <v>559010</v>
      </c>
      <c r="E4" s="83">
        <v>1660490</v>
      </c>
      <c r="F4" s="82">
        <v>575780</v>
      </c>
      <c r="G4" s="82">
        <v>593050</v>
      </c>
      <c r="H4" s="82">
        <v>610840</v>
      </c>
      <c r="I4" s="83">
        <v>200000</v>
      </c>
      <c r="J4" s="82">
        <v>623060</v>
      </c>
      <c r="K4" s="82">
        <v>635520</v>
      </c>
      <c r="L4" s="82">
        <v>648230</v>
      </c>
      <c r="M4" s="83">
        <v>1906810</v>
      </c>
      <c r="N4" s="82">
        <v>667680</v>
      </c>
      <c r="O4" s="82">
        <v>687710</v>
      </c>
      <c r="P4" s="82">
        <v>708340</v>
      </c>
      <c r="Q4" s="83">
        <v>2063730</v>
      </c>
      <c r="R4" s="84">
        <v>7410700</v>
      </c>
    </row>
    <row r="5" spans="1:18" x14ac:dyDescent="0.3">
      <c r="A5" s="81" t="s">
        <v>315</v>
      </c>
      <c r="B5" s="85">
        <v>106800</v>
      </c>
      <c r="C5" s="85">
        <v>107870</v>
      </c>
      <c r="D5" s="85">
        <v>108950</v>
      </c>
      <c r="E5" s="86">
        <v>323620</v>
      </c>
      <c r="F5" s="85">
        <v>112220</v>
      </c>
      <c r="G5" s="85">
        <v>115590</v>
      </c>
      <c r="H5" s="85">
        <v>119060</v>
      </c>
      <c r="I5" s="86">
        <v>346870</v>
      </c>
      <c r="J5" s="85">
        <v>121440</v>
      </c>
      <c r="K5" s="85">
        <v>123870</v>
      </c>
      <c r="L5" s="85">
        <v>126350</v>
      </c>
      <c r="M5" s="86">
        <v>371660</v>
      </c>
      <c r="N5" s="85">
        <v>130140</v>
      </c>
      <c r="O5" s="85">
        <v>134040</v>
      </c>
      <c r="P5" s="85">
        <v>138060</v>
      </c>
      <c r="Q5" s="86">
        <v>402240</v>
      </c>
      <c r="R5" s="87">
        <v>1444390</v>
      </c>
    </row>
    <row r="6" spans="1:18" ht="19.5" thickBot="1" x14ac:dyDescent="0.35">
      <c r="A6" s="88" t="s">
        <v>313</v>
      </c>
      <c r="B6" s="89">
        <v>654800</v>
      </c>
      <c r="C6" s="89">
        <v>661350</v>
      </c>
      <c r="D6" s="89">
        <v>667960</v>
      </c>
      <c r="E6" s="90">
        <v>1984110</v>
      </c>
      <c r="F6" s="89">
        <v>688000</v>
      </c>
      <c r="G6" s="89">
        <v>708640</v>
      </c>
      <c r="H6" s="89">
        <v>729900</v>
      </c>
      <c r="I6" s="90">
        <v>2126540</v>
      </c>
      <c r="J6" s="89">
        <v>744500</v>
      </c>
      <c r="K6" s="89">
        <v>759390</v>
      </c>
      <c r="L6" s="89">
        <v>774580</v>
      </c>
      <c r="M6" s="90">
        <v>2278470</v>
      </c>
      <c r="N6" s="89">
        <v>797820</v>
      </c>
      <c r="O6" s="89">
        <v>821750</v>
      </c>
      <c r="P6" s="89">
        <v>846400</v>
      </c>
      <c r="Q6" s="90">
        <v>2465970</v>
      </c>
      <c r="R6" s="91">
        <v>8855090</v>
      </c>
    </row>
    <row r="7" spans="1:18" x14ac:dyDescent="0.3">
      <c r="A7" s="92"/>
      <c r="B7" s="93"/>
      <c r="C7" s="93"/>
      <c r="D7" s="93"/>
      <c r="E7" s="94"/>
      <c r="F7" s="93"/>
      <c r="G7" s="93"/>
      <c r="H7" s="93"/>
      <c r="I7" s="94"/>
      <c r="J7" s="93"/>
      <c r="K7" s="93"/>
      <c r="L7" s="93"/>
      <c r="M7" s="94"/>
      <c r="N7" s="93"/>
      <c r="O7" s="93"/>
      <c r="P7" s="93"/>
      <c r="Q7" s="94"/>
      <c r="R7" s="95"/>
    </row>
    <row r="8" spans="1:18" x14ac:dyDescent="0.3">
      <c r="A8" s="76" t="s">
        <v>316</v>
      </c>
      <c r="B8" s="82"/>
      <c r="C8" s="82"/>
      <c r="D8" s="82"/>
      <c r="E8" s="96"/>
      <c r="F8" s="82"/>
      <c r="G8" s="82"/>
      <c r="H8" s="82"/>
      <c r="I8" s="96"/>
      <c r="J8" s="82"/>
      <c r="K8" s="82"/>
      <c r="L8" s="82"/>
      <c r="M8" s="96"/>
      <c r="N8" s="82"/>
      <c r="O8" s="82"/>
      <c r="P8" s="82"/>
      <c r="Q8" s="96"/>
      <c r="R8" s="97"/>
    </row>
    <row r="9" spans="1:18" x14ac:dyDescent="0.3">
      <c r="A9" s="81" t="s">
        <v>317</v>
      </c>
      <c r="B9" s="82">
        <v>306000</v>
      </c>
      <c r="C9" s="82">
        <v>309060</v>
      </c>
      <c r="D9" s="82">
        <v>312150</v>
      </c>
      <c r="E9" s="83">
        <v>927210</v>
      </c>
      <c r="F9" s="82">
        <v>321510</v>
      </c>
      <c r="G9" s="82">
        <v>331160</v>
      </c>
      <c r="H9" s="82">
        <v>341090</v>
      </c>
      <c r="I9" s="83">
        <v>993760</v>
      </c>
      <c r="J9" s="82">
        <v>347910</v>
      </c>
      <c r="K9" s="82">
        <v>354870</v>
      </c>
      <c r="L9" s="82">
        <v>361970</v>
      </c>
      <c r="M9" s="83">
        <v>1000000</v>
      </c>
      <c r="N9" s="82">
        <v>372830</v>
      </c>
      <c r="O9" s="82">
        <v>384010</v>
      </c>
      <c r="P9" s="82">
        <v>395530</v>
      </c>
      <c r="Q9" s="83">
        <v>1152370</v>
      </c>
      <c r="R9" s="84">
        <v>4138090</v>
      </c>
    </row>
    <row r="10" spans="1:18" x14ac:dyDescent="0.3">
      <c r="A10" s="81" t="s">
        <v>318</v>
      </c>
      <c r="B10" s="85">
        <v>5200</v>
      </c>
      <c r="C10" s="85">
        <v>5250</v>
      </c>
      <c r="D10" s="85">
        <v>5300</v>
      </c>
      <c r="E10" s="83">
        <v>15750</v>
      </c>
      <c r="F10" s="85">
        <v>5460</v>
      </c>
      <c r="G10" s="85">
        <v>5620</v>
      </c>
      <c r="H10" s="85">
        <v>5790</v>
      </c>
      <c r="I10" s="83">
        <v>450000</v>
      </c>
      <c r="J10" s="85">
        <v>5910</v>
      </c>
      <c r="K10" s="85">
        <v>6030</v>
      </c>
      <c r="L10" s="85">
        <v>6150</v>
      </c>
      <c r="M10" s="83">
        <v>-18090</v>
      </c>
      <c r="N10" s="85">
        <v>6330</v>
      </c>
      <c r="O10" s="85">
        <v>6520</v>
      </c>
      <c r="P10" s="85">
        <v>6720</v>
      </c>
      <c r="Q10" s="83">
        <v>19570</v>
      </c>
      <c r="R10" s="84">
        <v>70280</v>
      </c>
    </row>
    <row r="11" spans="1:18" x14ac:dyDescent="0.3">
      <c r="A11" s="81" t="s">
        <v>319</v>
      </c>
      <c r="B11" s="85">
        <v>2000</v>
      </c>
      <c r="C11" s="85">
        <v>2020</v>
      </c>
      <c r="D11" s="85">
        <v>2040</v>
      </c>
      <c r="E11" s="86">
        <v>6060</v>
      </c>
      <c r="F11" s="85">
        <v>2100</v>
      </c>
      <c r="G11" s="85">
        <v>2160</v>
      </c>
      <c r="H11" s="85">
        <v>2220</v>
      </c>
      <c r="I11" s="86">
        <v>6480</v>
      </c>
      <c r="J11" s="85">
        <v>2260</v>
      </c>
      <c r="K11" s="85">
        <v>2310</v>
      </c>
      <c r="L11" s="85">
        <v>2360</v>
      </c>
      <c r="M11" s="86">
        <v>6930</v>
      </c>
      <c r="N11" s="85">
        <v>2430</v>
      </c>
      <c r="O11" s="85">
        <v>2500</v>
      </c>
      <c r="P11" s="85">
        <v>2580</v>
      </c>
      <c r="Q11" s="86">
        <v>7510</v>
      </c>
      <c r="R11" s="87">
        <v>26980</v>
      </c>
    </row>
    <row r="12" spans="1:18" ht="19.5" thickBot="1" x14ac:dyDescent="0.35">
      <c r="A12" s="88" t="s">
        <v>320</v>
      </c>
      <c r="B12" s="89">
        <v>313200</v>
      </c>
      <c r="C12" s="89">
        <v>316330</v>
      </c>
      <c r="D12" s="89">
        <v>319490</v>
      </c>
      <c r="E12" s="90">
        <v>949020</v>
      </c>
      <c r="F12" s="89">
        <v>329070</v>
      </c>
      <c r="G12" s="89">
        <v>338940</v>
      </c>
      <c r="H12" s="89">
        <v>349100</v>
      </c>
      <c r="I12" s="90">
        <v>1017110</v>
      </c>
      <c r="J12" s="89">
        <v>356080</v>
      </c>
      <c r="K12" s="89">
        <v>363210</v>
      </c>
      <c r="L12" s="89">
        <v>370480</v>
      </c>
      <c r="M12" s="90">
        <v>1089770</v>
      </c>
      <c r="N12" s="89">
        <v>381590</v>
      </c>
      <c r="O12" s="89">
        <v>393030</v>
      </c>
      <c r="P12" s="89">
        <v>404830</v>
      </c>
      <c r="Q12" s="90">
        <v>1179450</v>
      </c>
      <c r="R12" s="91">
        <v>4235350</v>
      </c>
    </row>
    <row r="13" spans="1:18" ht="19.5" thickBot="1" x14ac:dyDescent="0.35">
      <c r="A13" s="98" t="s">
        <v>321</v>
      </c>
      <c r="B13" s="99">
        <v>341600</v>
      </c>
      <c r="C13" s="99">
        <v>345020</v>
      </c>
      <c r="D13" s="99">
        <v>348470</v>
      </c>
      <c r="E13" s="100">
        <v>1035090</v>
      </c>
      <c r="F13" s="99">
        <v>358930</v>
      </c>
      <c r="G13" s="99">
        <v>369700</v>
      </c>
      <c r="H13" s="99">
        <v>380800</v>
      </c>
      <c r="I13" s="100">
        <v>1109430</v>
      </c>
      <c r="J13" s="99">
        <v>388420</v>
      </c>
      <c r="K13" s="99">
        <v>396180</v>
      </c>
      <c r="L13" s="99">
        <v>404100</v>
      </c>
      <c r="M13" s="100">
        <v>1188700</v>
      </c>
      <c r="N13" s="99">
        <v>416230</v>
      </c>
      <c r="O13" s="99">
        <v>428720</v>
      </c>
      <c r="P13" s="99">
        <v>441570</v>
      </c>
      <c r="Q13" s="100">
        <v>1286520</v>
      </c>
      <c r="R13" s="101">
        <v>4619740</v>
      </c>
    </row>
    <row r="14" spans="1:18" ht="19.5" thickTop="1" x14ac:dyDescent="0.3">
      <c r="A14" s="102"/>
      <c r="B14" s="82"/>
      <c r="C14" s="82"/>
      <c r="D14" s="82"/>
      <c r="E14" s="103"/>
      <c r="F14" s="82"/>
      <c r="G14" s="82"/>
      <c r="H14" s="82"/>
      <c r="I14" s="103"/>
      <c r="J14" s="82"/>
      <c r="K14" s="82"/>
      <c r="L14" s="82"/>
      <c r="M14" s="103"/>
      <c r="N14" s="82"/>
      <c r="O14" s="82"/>
      <c r="P14" s="82"/>
      <c r="Q14" s="103"/>
      <c r="R14" s="104"/>
    </row>
    <row r="15" spans="1:18" x14ac:dyDescent="0.3">
      <c r="A15" s="76" t="s">
        <v>322</v>
      </c>
      <c r="B15" s="82"/>
      <c r="C15" s="82"/>
      <c r="D15" s="82"/>
      <c r="E15" s="96"/>
      <c r="F15" s="82"/>
      <c r="G15" s="82"/>
      <c r="H15" s="82"/>
      <c r="I15" s="96"/>
      <c r="J15" s="82"/>
      <c r="K15" s="82"/>
      <c r="L15" s="82"/>
      <c r="M15" s="96"/>
      <c r="N15" s="82"/>
      <c r="O15" s="82"/>
      <c r="P15" s="82"/>
      <c r="Q15" s="96"/>
      <c r="R15" s="97"/>
    </row>
    <row r="16" spans="1:18" x14ac:dyDescent="0.3">
      <c r="A16" s="105" t="s">
        <v>323</v>
      </c>
      <c r="B16" s="82">
        <v>73600</v>
      </c>
      <c r="C16" s="82">
        <v>74340</v>
      </c>
      <c r="D16" s="82">
        <v>75080</v>
      </c>
      <c r="E16" s="83">
        <v>223020</v>
      </c>
      <c r="F16" s="82">
        <v>77330</v>
      </c>
      <c r="G16" s="82">
        <v>79650</v>
      </c>
      <c r="H16" s="82">
        <v>82040</v>
      </c>
      <c r="I16" s="83">
        <v>239020</v>
      </c>
      <c r="J16" s="82">
        <v>83680</v>
      </c>
      <c r="K16" s="82">
        <v>85350</v>
      </c>
      <c r="L16" s="82">
        <v>87060</v>
      </c>
      <c r="M16" s="83">
        <v>256090</v>
      </c>
      <c r="N16" s="82">
        <v>89670</v>
      </c>
      <c r="O16" s="82">
        <v>92360</v>
      </c>
      <c r="P16" s="82">
        <v>95130</v>
      </c>
      <c r="Q16" s="83">
        <v>277160</v>
      </c>
      <c r="R16" s="84">
        <v>995290</v>
      </c>
    </row>
    <row r="17" spans="1:18" x14ac:dyDescent="0.3">
      <c r="A17" s="105" t="s">
        <v>324</v>
      </c>
      <c r="B17" s="85">
        <v>700</v>
      </c>
      <c r="C17" s="85">
        <v>710</v>
      </c>
      <c r="D17" s="85">
        <v>720</v>
      </c>
      <c r="E17" s="83">
        <v>2130</v>
      </c>
      <c r="F17" s="85">
        <v>740</v>
      </c>
      <c r="G17" s="85">
        <v>760</v>
      </c>
      <c r="H17" s="85">
        <v>780</v>
      </c>
      <c r="I17" s="83">
        <v>2280</v>
      </c>
      <c r="J17" s="85">
        <v>800</v>
      </c>
      <c r="K17" s="85">
        <v>820</v>
      </c>
      <c r="L17" s="85">
        <v>840</v>
      </c>
      <c r="M17" s="83">
        <v>2460</v>
      </c>
      <c r="N17" s="85">
        <v>870</v>
      </c>
      <c r="O17" s="85">
        <v>900</v>
      </c>
      <c r="P17" s="85">
        <v>930</v>
      </c>
      <c r="Q17" s="83">
        <v>2700</v>
      </c>
      <c r="R17" s="84">
        <v>9570</v>
      </c>
    </row>
    <row r="18" spans="1:18" x14ac:dyDescent="0.3">
      <c r="A18" s="105" t="s">
        <v>325</v>
      </c>
      <c r="B18" s="85">
        <v>800</v>
      </c>
      <c r="C18" s="85">
        <v>810</v>
      </c>
      <c r="D18" s="85">
        <v>820</v>
      </c>
      <c r="E18" s="83">
        <v>2430</v>
      </c>
      <c r="F18" s="85">
        <v>840</v>
      </c>
      <c r="G18" s="85">
        <v>870</v>
      </c>
      <c r="H18" s="85">
        <v>900</v>
      </c>
      <c r="I18" s="83">
        <v>2610</v>
      </c>
      <c r="J18" s="85">
        <v>920</v>
      </c>
      <c r="K18" s="85">
        <v>940</v>
      </c>
      <c r="L18" s="85">
        <v>960</v>
      </c>
      <c r="M18" s="83">
        <v>2820</v>
      </c>
      <c r="N18" s="85">
        <v>990</v>
      </c>
      <c r="O18" s="85">
        <v>1020</v>
      </c>
      <c r="P18" s="85">
        <v>1050</v>
      </c>
      <c r="Q18" s="83">
        <v>3060</v>
      </c>
      <c r="R18" s="84">
        <v>10920</v>
      </c>
    </row>
    <row r="19" spans="1:18" x14ac:dyDescent="0.3">
      <c r="A19" s="105" t="s">
        <v>326</v>
      </c>
      <c r="B19" s="85">
        <v>648</v>
      </c>
      <c r="C19" s="85">
        <v>650</v>
      </c>
      <c r="D19" s="85">
        <v>660</v>
      </c>
      <c r="E19" s="83">
        <v>1958</v>
      </c>
      <c r="F19" s="85">
        <v>680</v>
      </c>
      <c r="G19" s="85">
        <v>700</v>
      </c>
      <c r="H19" s="85">
        <v>720</v>
      </c>
      <c r="I19" s="83">
        <v>2100</v>
      </c>
      <c r="J19" s="85">
        <v>730</v>
      </c>
      <c r="K19" s="85">
        <v>740</v>
      </c>
      <c r="L19" s="85">
        <v>750</v>
      </c>
      <c r="M19" s="83">
        <v>2220</v>
      </c>
      <c r="N19" s="85">
        <v>770</v>
      </c>
      <c r="O19" s="85">
        <v>790</v>
      </c>
      <c r="P19" s="85">
        <v>810</v>
      </c>
      <c r="Q19" s="83">
        <v>2370</v>
      </c>
      <c r="R19" s="84">
        <v>8648</v>
      </c>
    </row>
    <row r="20" spans="1:18" x14ac:dyDescent="0.3">
      <c r="A20" s="105" t="s">
        <v>327</v>
      </c>
      <c r="B20" s="85">
        <v>800</v>
      </c>
      <c r="C20" s="85">
        <v>810</v>
      </c>
      <c r="D20" s="85">
        <v>820</v>
      </c>
      <c r="E20" s="83">
        <v>2430</v>
      </c>
      <c r="F20" s="85">
        <v>840</v>
      </c>
      <c r="G20" s="85">
        <v>870</v>
      </c>
      <c r="H20" s="85">
        <v>900</v>
      </c>
      <c r="I20" s="83">
        <v>2610</v>
      </c>
      <c r="J20" s="85">
        <v>920</v>
      </c>
      <c r="K20" s="85">
        <v>940</v>
      </c>
      <c r="L20" s="85">
        <v>960</v>
      </c>
      <c r="M20" s="83">
        <v>2820</v>
      </c>
      <c r="N20" s="85">
        <v>990</v>
      </c>
      <c r="O20" s="85">
        <v>1020</v>
      </c>
      <c r="P20" s="85">
        <v>1050</v>
      </c>
      <c r="Q20" s="83">
        <v>3060</v>
      </c>
      <c r="R20" s="84">
        <v>10920</v>
      </c>
    </row>
    <row r="21" spans="1:18" x14ac:dyDescent="0.3">
      <c r="A21" s="105" t="s">
        <v>328</v>
      </c>
      <c r="B21" s="85">
        <v>15200</v>
      </c>
      <c r="C21" s="85">
        <v>15350</v>
      </c>
      <c r="D21" s="85">
        <v>15500</v>
      </c>
      <c r="E21" s="83">
        <v>46050</v>
      </c>
      <c r="F21" s="85">
        <v>15970</v>
      </c>
      <c r="G21" s="85">
        <v>16450</v>
      </c>
      <c r="H21" s="85">
        <v>16940</v>
      </c>
      <c r="I21" s="83">
        <v>49360</v>
      </c>
      <c r="J21" s="85">
        <v>17280</v>
      </c>
      <c r="K21" s="85">
        <v>17630</v>
      </c>
      <c r="L21" s="85">
        <v>17980</v>
      </c>
      <c r="M21" s="83">
        <v>52890</v>
      </c>
      <c r="N21" s="85">
        <v>18520</v>
      </c>
      <c r="O21" s="85">
        <v>19080</v>
      </c>
      <c r="P21" s="85">
        <v>19650</v>
      </c>
      <c r="Q21" s="83">
        <v>57250</v>
      </c>
      <c r="R21" s="84">
        <v>205550</v>
      </c>
    </row>
    <row r="22" spans="1:18" x14ac:dyDescent="0.3">
      <c r="A22" s="105" t="s">
        <v>329</v>
      </c>
      <c r="B22" s="85">
        <v>1200</v>
      </c>
      <c r="C22" s="85">
        <v>1210</v>
      </c>
      <c r="D22" s="85">
        <v>1220</v>
      </c>
      <c r="E22" s="83">
        <v>3630</v>
      </c>
      <c r="F22" s="85">
        <v>1260</v>
      </c>
      <c r="G22" s="85">
        <v>1300</v>
      </c>
      <c r="H22" s="85">
        <v>1340</v>
      </c>
      <c r="I22" s="83">
        <v>3900</v>
      </c>
      <c r="J22" s="85">
        <v>1370</v>
      </c>
      <c r="K22" s="85">
        <v>1400</v>
      </c>
      <c r="L22" s="85">
        <v>1430</v>
      </c>
      <c r="M22" s="83">
        <v>4200</v>
      </c>
      <c r="N22" s="85">
        <v>1470</v>
      </c>
      <c r="O22" s="85">
        <v>1510</v>
      </c>
      <c r="P22" s="85">
        <v>1560</v>
      </c>
      <c r="Q22" s="83">
        <v>4540</v>
      </c>
      <c r="R22" s="84">
        <v>16270</v>
      </c>
    </row>
    <row r="23" spans="1:18" x14ac:dyDescent="0.3">
      <c r="A23" s="105" t="s">
        <v>330</v>
      </c>
      <c r="B23" s="85">
        <v>2800</v>
      </c>
      <c r="C23" s="85">
        <v>2830</v>
      </c>
      <c r="D23" s="85">
        <v>2860</v>
      </c>
      <c r="E23" s="83">
        <v>8490</v>
      </c>
      <c r="F23" s="85">
        <v>2950</v>
      </c>
      <c r="G23" s="85">
        <v>3040</v>
      </c>
      <c r="H23" s="85">
        <v>3130</v>
      </c>
      <c r="I23" s="83">
        <v>9120</v>
      </c>
      <c r="J23" s="85">
        <v>3190</v>
      </c>
      <c r="K23" s="85">
        <v>3250</v>
      </c>
      <c r="L23" s="85">
        <v>3320</v>
      </c>
      <c r="M23" s="83">
        <v>9760</v>
      </c>
      <c r="N23" s="85">
        <v>3420</v>
      </c>
      <c r="O23" s="85">
        <v>3520</v>
      </c>
      <c r="P23" s="85">
        <v>3630</v>
      </c>
      <c r="Q23" s="83">
        <v>10570</v>
      </c>
      <c r="R23" s="84">
        <v>37940</v>
      </c>
    </row>
    <row r="24" spans="1:18" x14ac:dyDescent="0.3">
      <c r="A24" s="105" t="s">
        <v>331</v>
      </c>
      <c r="B24" s="85">
        <v>9200</v>
      </c>
      <c r="C24" s="85">
        <v>9290</v>
      </c>
      <c r="D24" s="85">
        <v>9380</v>
      </c>
      <c r="E24" s="83">
        <v>27870</v>
      </c>
      <c r="F24" s="85">
        <v>9660</v>
      </c>
      <c r="G24" s="85">
        <v>9950</v>
      </c>
      <c r="H24" s="85">
        <v>10250</v>
      </c>
      <c r="I24" s="83">
        <v>29860</v>
      </c>
      <c r="J24" s="85">
        <v>10460</v>
      </c>
      <c r="K24" s="85">
        <v>10670</v>
      </c>
      <c r="L24" s="85">
        <v>10880</v>
      </c>
      <c r="M24" s="83">
        <v>32010</v>
      </c>
      <c r="N24" s="85">
        <v>11210</v>
      </c>
      <c r="O24" s="85">
        <v>11550</v>
      </c>
      <c r="P24" s="85">
        <v>11900</v>
      </c>
      <c r="Q24" s="83">
        <v>34660</v>
      </c>
      <c r="R24" s="84">
        <v>124400</v>
      </c>
    </row>
    <row r="25" spans="1:18" x14ac:dyDescent="0.3">
      <c r="A25" s="105" t="s">
        <v>332</v>
      </c>
      <c r="B25" s="85">
        <v>86400</v>
      </c>
      <c r="C25" s="85">
        <v>87260</v>
      </c>
      <c r="D25" s="85">
        <v>88130</v>
      </c>
      <c r="E25" s="83">
        <v>261790</v>
      </c>
      <c r="F25" s="85">
        <v>90770</v>
      </c>
      <c r="G25" s="85">
        <v>93490</v>
      </c>
      <c r="H25" s="85">
        <v>96290</v>
      </c>
      <c r="I25" s="83">
        <v>280550</v>
      </c>
      <c r="J25" s="85">
        <v>98220</v>
      </c>
      <c r="K25" s="85">
        <v>100180</v>
      </c>
      <c r="L25" s="85">
        <v>102180</v>
      </c>
      <c r="M25" s="83">
        <v>300580</v>
      </c>
      <c r="N25" s="85">
        <v>105250</v>
      </c>
      <c r="O25" s="85">
        <v>108410</v>
      </c>
      <c r="P25" s="85">
        <v>111660</v>
      </c>
      <c r="Q25" s="83">
        <v>325320</v>
      </c>
      <c r="R25" s="84">
        <v>1168240</v>
      </c>
    </row>
    <row r="26" spans="1:18" x14ac:dyDescent="0.3">
      <c r="A26" s="105" t="s">
        <v>333</v>
      </c>
      <c r="B26" s="85">
        <v>4400</v>
      </c>
      <c r="C26" s="85">
        <v>4440</v>
      </c>
      <c r="D26" s="85">
        <v>4480</v>
      </c>
      <c r="E26" s="83">
        <v>13320</v>
      </c>
      <c r="F26" s="85">
        <v>4610</v>
      </c>
      <c r="G26" s="85">
        <v>4750</v>
      </c>
      <c r="H26" s="85">
        <v>4890</v>
      </c>
      <c r="I26" s="83">
        <v>14250</v>
      </c>
      <c r="J26" s="85">
        <v>4990</v>
      </c>
      <c r="K26" s="85">
        <v>5090</v>
      </c>
      <c r="L26" s="85">
        <v>5190</v>
      </c>
      <c r="M26" s="83">
        <v>15270</v>
      </c>
      <c r="N26" s="85">
        <v>5350</v>
      </c>
      <c r="O26" s="85">
        <v>5510</v>
      </c>
      <c r="P26" s="85">
        <v>5680</v>
      </c>
      <c r="Q26" s="83">
        <v>16540</v>
      </c>
      <c r="R26" s="84">
        <v>59380</v>
      </c>
    </row>
    <row r="27" spans="1:18" x14ac:dyDescent="0.3">
      <c r="A27" s="105" t="s">
        <v>334</v>
      </c>
      <c r="B27" s="85">
        <v>5200</v>
      </c>
      <c r="C27" s="85">
        <v>5250</v>
      </c>
      <c r="D27" s="85">
        <v>5300</v>
      </c>
      <c r="E27" s="83">
        <v>15750</v>
      </c>
      <c r="F27" s="85">
        <v>5460</v>
      </c>
      <c r="G27" s="85">
        <v>5620</v>
      </c>
      <c r="H27" s="85">
        <v>5790</v>
      </c>
      <c r="I27" s="83">
        <v>16870</v>
      </c>
      <c r="J27" s="85">
        <v>5910</v>
      </c>
      <c r="K27" s="85">
        <v>6030</v>
      </c>
      <c r="L27" s="85">
        <v>6150</v>
      </c>
      <c r="M27" s="83">
        <v>18090</v>
      </c>
      <c r="N27" s="85">
        <v>6330</v>
      </c>
      <c r="O27" s="85">
        <v>6520</v>
      </c>
      <c r="P27" s="85">
        <v>6720</v>
      </c>
      <c r="Q27" s="83">
        <v>19570</v>
      </c>
      <c r="R27" s="84">
        <v>70280</v>
      </c>
    </row>
    <row r="28" spans="1:18" x14ac:dyDescent="0.3">
      <c r="A28" s="105" t="s">
        <v>335</v>
      </c>
      <c r="B28" s="85">
        <v>2000</v>
      </c>
      <c r="C28" s="85">
        <v>2020</v>
      </c>
      <c r="D28" s="85">
        <v>2040</v>
      </c>
      <c r="E28" s="83">
        <v>6060</v>
      </c>
      <c r="F28" s="85">
        <v>2100</v>
      </c>
      <c r="G28" s="85">
        <v>2160</v>
      </c>
      <c r="H28" s="85">
        <v>2220</v>
      </c>
      <c r="I28" s="83">
        <v>6480</v>
      </c>
      <c r="J28" s="85">
        <v>2260</v>
      </c>
      <c r="K28" s="85">
        <v>2310</v>
      </c>
      <c r="L28" s="85">
        <v>2360</v>
      </c>
      <c r="M28" s="83">
        <v>240000</v>
      </c>
      <c r="N28" s="85">
        <v>2430</v>
      </c>
      <c r="O28" s="85">
        <v>2500</v>
      </c>
      <c r="P28" s="85">
        <v>2580</v>
      </c>
      <c r="Q28" s="83">
        <v>7510</v>
      </c>
      <c r="R28" s="84">
        <v>26980</v>
      </c>
    </row>
    <row r="29" spans="1:18" x14ac:dyDescent="0.3">
      <c r="A29" s="105" t="s">
        <v>336</v>
      </c>
      <c r="B29" s="85">
        <v>3600</v>
      </c>
      <c r="C29" s="85">
        <v>3640</v>
      </c>
      <c r="D29" s="85">
        <v>3680</v>
      </c>
      <c r="E29" s="83">
        <v>10920</v>
      </c>
      <c r="F29" s="85">
        <v>3790</v>
      </c>
      <c r="G29" s="85">
        <v>3900</v>
      </c>
      <c r="H29" s="85">
        <v>4020</v>
      </c>
      <c r="I29" s="83">
        <v>11710</v>
      </c>
      <c r="J29" s="85">
        <v>4100</v>
      </c>
      <c r="K29" s="85">
        <v>4180</v>
      </c>
      <c r="L29" s="85">
        <v>4260</v>
      </c>
      <c r="M29" s="83">
        <v>12540</v>
      </c>
      <c r="N29" s="85">
        <v>4390</v>
      </c>
      <c r="O29" s="85">
        <v>4520</v>
      </c>
      <c r="P29" s="85">
        <v>4660</v>
      </c>
      <c r="Q29" s="83">
        <v>13570</v>
      </c>
      <c r="R29" s="84">
        <v>48740</v>
      </c>
    </row>
    <row r="30" spans="1:18" x14ac:dyDescent="0.3">
      <c r="A30" s="105" t="s">
        <v>337</v>
      </c>
      <c r="B30" s="85">
        <v>1200</v>
      </c>
      <c r="C30" s="85">
        <v>1210</v>
      </c>
      <c r="D30" s="85">
        <v>1220</v>
      </c>
      <c r="E30" s="83">
        <v>3630</v>
      </c>
      <c r="F30" s="85">
        <v>1260</v>
      </c>
      <c r="G30" s="85">
        <v>1300</v>
      </c>
      <c r="H30" s="85">
        <v>1340</v>
      </c>
      <c r="I30" s="83">
        <v>3900</v>
      </c>
      <c r="J30" s="85">
        <v>1370</v>
      </c>
      <c r="K30" s="85">
        <v>1400</v>
      </c>
      <c r="L30" s="85">
        <v>1430</v>
      </c>
      <c r="M30" s="83">
        <v>4200</v>
      </c>
      <c r="N30" s="85">
        <v>1470</v>
      </c>
      <c r="O30" s="85">
        <v>1510</v>
      </c>
      <c r="P30" s="85">
        <v>1560</v>
      </c>
      <c r="Q30" s="83">
        <v>4540</v>
      </c>
      <c r="R30" s="84">
        <v>16270</v>
      </c>
    </row>
    <row r="31" spans="1:18" x14ac:dyDescent="0.3">
      <c r="A31" s="105" t="s">
        <v>338</v>
      </c>
      <c r="B31" s="85">
        <v>660</v>
      </c>
      <c r="C31" s="85">
        <v>670</v>
      </c>
      <c r="D31" s="85">
        <v>680</v>
      </c>
      <c r="E31" s="86">
        <v>2010</v>
      </c>
      <c r="F31" s="85">
        <v>700</v>
      </c>
      <c r="G31" s="85">
        <v>720</v>
      </c>
      <c r="H31" s="85">
        <v>740</v>
      </c>
      <c r="I31" s="86">
        <v>2160</v>
      </c>
      <c r="J31" s="85">
        <v>750</v>
      </c>
      <c r="K31" s="85">
        <v>770</v>
      </c>
      <c r="L31" s="85">
        <v>790</v>
      </c>
      <c r="M31" s="86">
        <v>2310</v>
      </c>
      <c r="N31" s="85">
        <v>810</v>
      </c>
      <c r="O31" s="85">
        <v>830</v>
      </c>
      <c r="P31" s="85">
        <v>850</v>
      </c>
      <c r="Q31" s="86">
        <v>2490</v>
      </c>
      <c r="R31" s="87">
        <v>8970</v>
      </c>
    </row>
    <row r="32" spans="1:18" ht="19.5" thickBot="1" x14ac:dyDescent="0.35">
      <c r="A32" s="76" t="s">
        <v>339</v>
      </c>
      <c r="B32" s="99">
        <v>208408</v>
      </c>
      <c r="C32" s="99">
        <v>210490</v>
      </c>
      <c r="D32" s="99">
        <v>212590</v>
      </c>
      <c r="E32" s="106">
        <v>631488</v>
      </c>
      <c r="F32" s="99">
        <v>218960</v>
      </c>
      <c r="G32" s="99">
        <v>225530</v>
      </c>
      <c r="H32" s="99">
        <v>232290</v>
      </c>
      <c r="I32" s="106">
        <v>676780</v>
      </c>
      <c r="J32" s="99">
        <v>236950</v>
      </c>
      <c r="K32" s="99">
        <v>241700</v>
      </c>
      <c r="L32" s="99">
        <v>246540</v>
      </c>
      <c r="M32" s="106">
        <v>725190</v>
      </c>
      <c r="N32" s="99">
        <v>253940</v>
      </c>
      <c r="O32" s="99">
        <v>261550</v>
      </c>
      <c r="P32" s="99">
        <v>269420</v>
      </c>
      <c r="Q32" s="106">
        <v>784910</v>
      </c>
      <c r="R32" s="107">
        <v>2818368</v>
      </c>
    </row>
    <row r="33" spans="1:18" ht="19.5" thickTop="1" x14ac:dyDescent="0.3">
      <c r="A33" s="108"/>
      <c r="B33" s="82"/>
      <c r="C33" s="82"/>
      <c r="D33" s="82"/>
      <c r="E33" s="94"/>
      <c r="F33" s="82"/>
      <c r="G33" s="82"/>
      <c r="H33" s="82"/>
      <c r="I33" s="94"/>
      <c r="J33" s="82"/>
      <c r="K33" s="82"/>
      <c r="L33" s="82"/>
      <c r="M33" s="94"/>
      <c r="N33" s="82"/>
      <c r="O33" s="82"/>
      <c r="P33" s="82"/>
      <c r="Q33" s="94"/>
      <c r="R33" s="109"/>
    </row>
    <row r="34" spans="1:18" x14ac:dyDescent="0.3">
      <c r="A34" s="110" t="s">
        <v>340</v>
      </c>
      <c r="B34" s="111">
        <v>133192</v>
      </c>
      <c r="C34" s="111">
        <v>134530</v>
      </c>
      <c r="D34" s="111">
        <v>135880</v>
      </c>
      <c r="E34" s="112">
        <v>403602</v>
      </c>
      <c r="F34" s="111">
        <v>139970</v>
      </c>
      <c r="G34" s="111">
        <v>144170</v>
      </c>
      <c r="H34" s="111">
        <v>148510</v>
      </c>
      <c r="I34" s="112">
        <v>200000</v>
      </c>
      <c r="J34" s="111">
        <v>151470</v>
      </c>
      <c r="K34" s="111">
        <v>154480</v>
      </c>
      <c r="L34" s="111">
        <v>157560</v>
      </c>
      <c r="M34" s="112">
        <v>463510</v>
      </c>
      <c r="N34" s="111">
        <v>162290</v>
      </c>
      <c r="O34" s="111">
        <v>167170</v>
      </c>
      <c r="P34" s="111">
        <v>172150</v>
      </c>
      <c r="Q34" s="112">
        <v>501610</v>
      </c>
      <c r="R34" s="113">
        <v>1801372</v>
      </c>
    </row>
    <row r="35" spans="1:18" x14ac:dyDescent="0.3">
      <c r="A35" s="72"/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</row>
    <row r="36" spans="1:18" x14ac:dyDescent="0.3">
      <c r="A36" s="72"/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</row>
    <row r="37" spans="1:18" x14ac:dyDescent="0.3">
      <c r="A37" s="72"/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</row>
    <row r="38" spans="1:18" x14ac:dyDescent="0.3">
      <c r="A38" s="72"/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</row>
    <row r="39" spans="1:18" x14ac:dyDescent="0.3">
      <c r="A39" s="72"/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</row>
    <row r="40" spans="1:18" x14ac:dyDescent="0.3">
      <c r="A40" s="72"/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</row>
    <row r="41" spans="1:18" x14ac:dyDescent="0.3">
      <c r="A41" s="72"/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</row>
    <row r="42" spans="1:18" x14ac:dyDescent="0.3">
      <c r="A42" s="72"/>
      <c r="B42" s="72"/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</row>
    <row r="43" spans="1:18" x14ac:dyDescent="0.3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</row>
    <row r="44" spans="1:18" x14ac:dyDescent="0.3">
      <c r="A44" s="72"/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</row>
    <row r="45" spans="1:18" x14ac:dyDescent="0.3">
      <c r="A45" s="72"/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</row>
    <row r="46" spans="1:18" x14ac:dyDescent="0.3">
      <c r="A46" s="72"/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</row>
    <row r="47" spans="1:18" x14ac:dyDescent="0.3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</row>
    <row r="48" spans="1:18" x14ac:dyDescent="0.3">
      <c r="A48" s="72"/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1A0CE-F2DF-406F-AA90-CD73843B304C}">
  <dimension ref="A1:J18"/>
  <sheetViews>
    <sheetView workbookViewId="0">
      <selection activeCell="E2" sqref="E2"/>
    </sheetView>
  </sheetViews>
  <sheetFormatPr defaultRowHeight="15" x14ac:dyDescent="0.25"/>
  <cols>
    <col min="1" max="1" width="39" bestFit="1" customWidth="1"/>
    <col min="2" max="2" width="12.85546875" bestFit="1" customWidth="1"/>
    <col min="3" max="3" width="9.85546875" bestFit="1" customWidth="1"/>
    <col min="4" max="4" width="10.28515625" bestFit="1" customWidth="1"/>
    <col min="5" max="5" width="15.85546875" bestFit="1" customWidth="1"/>
    <col min="6" max="6" width="9.28515625" bestFit="1" customWidth="1"/>
    <col min="7" max="7" width="11.28515625" customWidth="1"/>
    <col min="8" max="8" width="10" customWidth="1"/>
    <col min="9" max="9" width="11" bestFit="1" customWidth="1"/>
    <col min="10" max="10" width="6.5703125" bestFit="1" customWidth="1"/>
    <col min="11" max="12" width="9.140625" customWidth="1"/>
  </cols>
  <sheetData>
    <row r="1" spans="1:10" ht="18.75" x14ac:dyDescent="0.25">
      <c r="C1" s="1" t="s">
        <v>341</v>
      </c>
      <c r="D1" s="1"/>
      <c r="E1" s="1"/>
      <c r="F1" s="1"/>
      <c r="G1" s="1"/>
      <c r="H1" s="1"/>
      <c r="I1" s="1"/>
    </row>
    <row r="2" spans="1:10" ht="18.75" x14ac:dyDescent="0.3">
      <c r="C2" s="123" t="s">
        <v>342</v>
      </c>
      <c r="D2" s="124" t="s">
        <v>343</v>
      </c>
      <c r="E2" s="124" t="s">
        <v>344</v>
      </c>
      <c r="F2" s="124" t="s">
        <v>345</v>
      </c>
      <c r="G2" s="124" t="s">
        <v>346</v>
      </c>
      <c r="H2" s="124" t="s">
        <v>347</v>
      </c>
      <c r="I2" s="125" t="s">
        <v>348</v>
      </c>
    </row>
    <row r="3" spans="1:10" ht="18.75" x14ac:dyDescent="0.3">
      <c r="C3" s="126" t="s">
        <v>349</v>
      </c>
      <c r="D3" s="127">
        <v>1</v>
      </c>
      <c r="E3" s="127">
        <v>2</v>
      </c>
      <c r="F3" s="127">
        <v>3</v>
      </c>
      <c r="G3" s="127">
        <v>4</v>
      </c>
      <c r="H3" s="127">
        <v>5</v>
      </c>
      <c r="I3" s="128">
        <v>6</v>
      </c>
    </row>
    <row r="4" spans="1:10" ht="18.75" x14ac:dyDescent="0.3">
      <c r="C4" s="129" t="s">
        <v>350</v>
      </c>
      <c r="D4" s="129" t="s">
        <v>351</v>
      </c>
      <c r="E4" s="129" t="s">
        <v>352</v>
      </c>
      <c r="F4" s="129" t="s">
        <v>254</v>
      </c>
      <c r="G4" s="129" t="s">
        <v>353</v>
      </c>
      <c r="H4" s="129" t="s">
        <v>354</v>
      </c>
      <c r="I4" s="129" t="s">
        <v>355</v>
      </c>
    </row>
    <row r="7" spans="1:10" x14ac:dyDescent="0.25">
      <c r="A7" s="166" t="s">
        <v>377</v>
      </c>
      <c r="B7" s="166" t="s">
        <v>378</v>
      </c>
      <c r="E7" s="157"/>
    </row>
    <row r="8" spans="1:10" x14ac:dyDescent="0.25">
      <c r="A8" s="166" t="s">
        <v>379</v>
      </c>
      <c r="B8" s="166"/>
      <c r="J8" s="155">
        <v>10000</v>
      </c>
    </row>
    <row r="9" spans="1:10" x14ac:dyDescent="0.25">
      <c r="A9" s="166" t="s">
        <v>382</v>
      </c>
      <c r="B9" s="166" t="s">
        <v>380</v>
      </c>
      <c r="J9" s="155">
        <v>20000</v>
      </c>
    </row>
    <row r="10" spans="1:10" x14ac:dyDescent="0.25">
      <c r="A10" s="166" t="s">
        <v>381</v>
      </c>
      <c r="B10" s="166" t="s">
        <v>397</v>
      </c>
      <c r="F10" s="158"/>
      <c r="J10" s="155">
        <v>30000</v>
      </c>
    </row>
    <row r="11" spans="1:10" x14ac:dyDescent="0.25">
      <c r="A11" s="166" t="s">
        <v>383</v>
      </c>
      <c r="B11" s="166" t="s">
        <v>384</v>
      </c>
    </row>
    <row r="12" spans="1:10" x14ac:dyDescent="0.25">
      <c r="A12" s="166" t="s">
        <v>386</v>
      </c>
      <c r="B12" s="166" t="s">
        <v>385</v>
      </c>
    </row>
    <row r="13" spans="1:10" x14ac:dyDescent="0.25">
      <c r="A13" s="166" t="s">
        <v>387</v>
      </c>
      <c r="B13" s="166" t="s">
        <v>388</v>
      </c>
    </row>
    <row r="14" spans="1:10" x14ac:dyDescent="0.25">
      <c r="A14" s="166" t="s">
        <v>389</v>
      </c>
      <c r="B14" s="166" t="s">
        <v>390</v>
      </c>
      <c r="H14" s="155">
        <f ca="1">Basics!D5</f>
        <v>5</v>
      </c>
    </row>
    <row r="15" spans="1:10" x14ac:dyDescent="0.25">
      <c r="A15" s="166" t="s">
        <v>396</v>
      </c>
      <c r="B15" s="166"/>
    </row>
    <row r="16" spans="1:10" x14ac:dyDescent="0.25">
      <c r="A16" s="166" t="s">
        <v>401</v>
      </c>
      <c r="B16" s="166" t="s">
        <v>400</v>
      </c>
      <c r="H16" t="s">
        <v>455</v>
      </c>
    </row>
    <row r="17" spans="1:8" x14ac:dyDescent="0.25">
      <c r="A17" s="166" t="s">
        <v>408</v>
      </c>
      <c r="B17" s="166" t="s">
        <v>409</v>
      </c>
    </row>
    <row r="18" spans="1:8" x14ac:dyDescent="0.25">
      <c r="H18" t="s">
        <v>456</v>
      </c>
    </row>
  </sheetData>
  <mergeCells count="1">
    <mergeCell ref="C1:I1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55E6A-A2BB-4D40-BFC6-6D44A25D7E81}">
  <dimension ref="A1:H30"/>
  <sheetViews>
    <sheetView workbookViewId="0">
      <selection activeCell="D6" sqref="D6"/>
    </sheetView>
  </sheetViews>
  <sheetFormatPr defaultColWidth="9.140625" defaultRowHeight="21" x14ac:dyDescent="0.35"/>
  <cols>
    <col min="1" max="1" width="19.85546875" style="195" customWidth="1"/>
    <col min="2" max="2" width="19.85546875" style="196" customWidth="1"/>
    <col min="3" max="3" width="19.85546875" style="170" customWidth="1"/>
    <col min="4" max="4" width="39.42578125" style="116" bestFit="1" customWidth="1"/>
    <col min="5" max="5" width="19.85546875" style="167" customWidth="1"/>
    <col min="6" max="6" width="19.85546875" style="168" customWidth="1"/>
    <col min="7" max="7" width="19.85546875" style="114" customWidth="1"/>
    <col min="8" max="8" width="24.42578125" style="114" customWidth="1"/>
    <col min="9" max="9" width="24.42578125" style="114" bestFit="1" customWidth="1"/>
    <col min="10" max="16384" width="9.140625" style="114"/>
  </cols>
  <sheetData>
    <row r="1" spans="1:8" x14ac:dyDescent="0.35">
      <c r="A1" s="188" t="s">
        <v>356</v>
      </c>
      <c r="B1" s="169" t="s">
        <v>357</v>
      </c>
      <c r="C1" s="189" t="s">
        <v>358</v>
      </c>
      <c r="D1" s="130" t="s">
        <v>359</v>
      </c>
      <c r="E1" s="169" t="s">
        <v>360</v>
      </c>
      <c r="F1" s="169" t="s">
        <v>361</v>
      </c>
    </row>
    <row r="2" spans="1:8" x14ac:dyDescent="0.35">
      <c r="A2" s="190">
        <v>42268</v>
      </c>
      <c r="B2" s="191">
        <v>42268</v>
      </c>
      <c r="C2" s="178">
        <v>42268</v>
      </c>
      <c r="D2" s="147">
        <v>42268</v>
      </c>
      <c r="E2" s="148" t="s">
        <v>462</v>
      </c>
      <c r="F2" s="148" t="s">
        <v>410</v>
      </c>
      <c r="G2" s="146"/>
      <c r="H2" s="115"/>
    </row>
    <row r="3" spans="1:8" x14ac:dyDescent="0.35">
      <c r="A3" s="190">
        <v>36932</v>
      </c>
      <c r="B3" s="191">
        <v>36932</v>
      </c>
      <c r="C3" s="178">
        <v>36932</v>
      </c>
      <c r="D3" s="147">
        <v>36932</v>
      </c>
      <c r="E3" s="148" t="s">
        <v>463</v>
      </c>
      <c r="F3" s="148" t="s">
        <v>411</v>
      </c>
      <c r="G3" s="115"/>
      <c r="H3" s="115"/>
    </row>
    <row r="4" spans="1:8" x14ac:dyDescent="0.35">
      <c r="A4" s="190">
        <v>41712</v>
      </c>
      <c r="B4" s="191">
        <v>41712</v>
      </c>
      <c r="C4" s="178">
        <v>41712</v>
      </c>
      <c r="D4" s="147">
        <v>41712</v>
      </c>
      <c r="E4" s="148" t="s">
        <v>464</v>
      </c>
      <c r="F4" s="148" t="s">
        <v>412</v>
      </c>
      <c r="G4" s="115"/>
      <c r="H4" s="115"/>
    </row>
    <row r="5" spans="1:8" x14ac:dyDescent="0.35">
      <c r="A5" s="190">
        <v>37039</v>
      </c>
      <c r="B5" s="191">
        <v>37039</v>
      </c>
      <c r="C5" s="178">
        <v>37039</v>
      </c>
      <c r="D5" s="147">
        <v>37039</v>
      </c>
      <c r="E5" s="148" t="s">
        <v>465</v>
      </c>
      <c r="F5" s="148" t="s">
        <v>413</v>
      </c>
      <c r="G5" s="115"/>
      <c r="H5" s="115"/>
    </row>
    <row r="6" spans="1:8" x14ac:dyDescent="0.35">
      <c r="A6" s="190">
        <v>35433</v>
      </c>
      <c r="B6" s="191">
        <v>35433</v>
      </c>
      <c r="C6" s="178">
        <v>35433</v>
      </c>
      <c r="D6" s="147">
        <v>35433</v>
      </c>
      <c r="E6" s="148" t="s">
        <v>466</v>
      </c>
      <c r="F6" s="148" t="s">
        <v>414</v>
      </c>
      <c r="G6" s="115"/>
      <c r="H6" s="192"/>
    </row>
    <row r="7" spans="1:8" x14ac:dyDescent="0.35">
      <c r="A7" s="190">
        <v>36736</v>
      </c>
      <c r="B7" s="191">
        <v>36736</v>
      </c>
      <c r="C7" s="178">
        <v>36736</v>
      </c>
      <c r="D7" s="147">
        <v>36736</v>
      </c>
      <c r="E7" s="148" t="s">
        <v>467</v>
      </c>
      <c r="F7" s="148" t="s">
        <v>415</v>
      </c>
      <c r="G7" s="115"/>
      <c r="H7" s="115"/>
    </row>
    <row r="8" spans="1:8" x14ac:dyDescent="0.35">
      <c r="A8" s="190">
        <v>38766</v>
      </c>
      <c r="B8" s="191">
        <v>38766</v>
      </c>
      <c r="C8" s="178">
        <v>38766</v>
      </c>
      <c r="D8" s="147">
        <v>38766</v>
      </c>
      <c r="E8" s="148" t="s">
        <v>468</v>
      </c>
      <c r="F8" s="148" t="s">
        <v>416</v>
      </c>
      <c r="G8" s="115"/>
      <c r="H8" s="192"/>
    </row>
    <row r="9" spans="1:8" x14ac:dyDescent="0.35">
      <c r="A9" s="190">
        <v>36732</v>
      </c>
      <c r="B9" s="191">
        <v>36732</v>
      </c>
      <c r="C9" s="178">
        <v>36732</v>
      </c>
      <c r="D9" s="147">
        <v>36732</v>
      </c>
      <c r="E9" s="148" t="s">
        <v>469</v>
      </c>
      <c r="F9" s="148" t="s">
        <v>417</v>
      </c>
      <c r="G9" s="115"/>
      <c r="H9" s="115"/>
    </row>
    <row r="10" spans="1:8" x14ac:dyDescent="0.35">
      <c r="A10" s="190">
        <v>42135</v>
      </c>
      <c r="B10" s="191">
        <v>42135</v>
      </c>
      <c r="C10" s="178">
        <v>42135</v>
      </c>
      <c r="D10" s="147">
        <v>42135</v>
      </c>
      <c r="E10" s="148" t="s">
        <v>470</v>
      </c>
      <c r="F10" s="148" t="s">
        <v>418</v>
      </c>
      <c r="G10" s="115"/>
      <c r="H10" s="115"/>
    </row>
    <row r="11" spans="1:8" x14ac:dyDescent="0.35">
      <c r="A11" s="190">
        <v>35794</v>
      </c>
      <c r="B11" s="191">
        <v>35794</v>
      </c>
      <c r="C11" s="178">
        <v>35794</v>
      </c>
      <c r="D11" s="147">
        <v>35794</v>
      </c>
      <c r="E11" s="148" t="s">
        <v>471</v>
      </c>
      <c r="F11" s="148" t="s">
        <v>419</v>
      </c>
      <c r="G11" s="115"/>
      <c r="H11" s="115"/>
    </row>
    <row r="12" spans="1:8" x14ac:dyDescent="0.35">
      <c r="A12" s="190">
        <v>36337</v>
      </c>
      <c r="B12" s="191">
        <v>36337</v>
      </c>
      <c r="C12" s="178">
        <v>36337</v>
      </c>
      <c r="D12" s="147">
        <v>36337</v>
      </c>
      <c r="E12" s="148" t="s">
        <v>472</v>
      </c>
      <c r="F12" s="148" t="s">
        <v>420</v>
      </c>
      <c r="G12" s="115"/>
      <c r="H12" s="115"/>
    </row>
    <row r="13" spans="1:8" x14ac:dyDescent="0.35">
      <c r="A13" s="190">
        <v>37719</v>
      </c>
      <c r="B13" s="191">
        <v>37719</v>
      </c>
      <c r="C13" s="178">
        <v>37719</v>
      </c>
      <c r="D13" s="147">
        <v>37719</v>
      </c>
      <c r="E13" s="148" t="s">
        <v>473</v>
      </c>
      <c r="F13" s="148" t="s">
        <v>421</v>
      </c>
      <c r="G13" s="115"/>
      <c r="H13" s="115"/>
    </row>
    <row r="14" spans="1:8" x14ac:dyDescent="0.35">
      <c r="A14" s="190">
        <v>41401</v>
      </c>
      <c r="B14" s="191">
        <v>41401</v>
      </c>
      <c r="C14" s="178">
        <v>41401</v>
      </c>
      <c r="D14" s="147">
        <v>41401</v>
      </c>
      <c r="E14" s="148" t="s">
        <v>474</v>
      </c>
      <c r="F14" s="148" t="s">
        <v>422</v>
      </c>
      <c r="G14" s="115"/>
      <c r="H14" s="115"/>
    </row>
    <row r="15" spans="1:8" x14ac:dyDescent="0.35">
      <c r="A15" s="190">
        <v>42123</v>
      </c>
      <c r="B15" s="191">
        <v>42123</v>
      </c>
      <c r="C15" s="178">
        <v>42123</v>
      </c>
      <c r="D15" s="147">
        <v>42123</v>
      </c>
      <c r="E15" s="148" t="s">
        <v>475</v>
      </c>
      <c r="F15" s="148" t="s">
        <v>423</v>
      </c>
      <c r="G15" s="115"/>
      <c r="H15" s="192"/>
    </row>
    <row r="16" spans="1:8" x14ac:dyDescent="0.35">
      <c r="A16" s="190">
        <v>37632</v>
      </c>
      <c r="B16" s="191">
        <v>37632</v>
      </c>
      <c r="C16" s="178">
        <v>37632</v>
      </c>
      <c r="D16" s="147">
        <v>37632</v>
      </c>
      <c r="E16" s="148" t="s">
        <v>476</v>
      </c>
      <c r="F16" s="148" t="s">
        <v>424</v>
      </c>
      <c r="G16" s="115"/>
      <c r="H16" s="115"/>
    </row>
    <row r="17" spans="1:8" x14ac:dyDescent="0.35">
      <c r="A17" s="190">
        <v>37035</v>
      </c>
      <c r="B17" s="191">
        <v>37035</v>
      </c>
      <c r="C17" s="178">
        <v>37035</v>
      </c>
      <c r="D17" s="147">
        <v>37035</v>
      </c>
      <c r="E17" s="148" t="s">
        <v>477</v>
      </c>
      <c r="F17" s="148" t="s">
        <v>425</v>
      </c>
      <c r="G17" s="115"/>
      <c r="H17" s="115"/>
    </row>
    <row r="18" spans="1:8" x14ac:dyDescent="0.35">
      <c r="A18" s="190">
        <v>41180</v>
      </c>
      <c r="B18" s="191">
        <v>41180</v>
      </c>
      <c r="C18" s="178">
        <v>41180</v>
      </c>
      <c r="D18" s="147">
        <v>41180</v>
      </c>
      <c r="E18" s="148" t="s">
        <v>478</v>
      </c>
      <c r="F18" s="148" t="s">
        <v>426</v>
      </c>
      <c r="G18" s="115"/>
      <c r="H18" s="115"/>
    </row>
    <row r="19" spans="1:8" x14ac:dyDescent="0.35">
      <c r="A19" s="190">
        <v>40568</v>
      </c>
      <c r="B19" s="191">
        <v>40568</v>
      </c>
      <c r="C19" s="178">
        <v>40568</v>
      </c>
      <c r="D19" s="147">
        <v>40568</v>
      </c>
      <c r="E19" s="148" t="s">
        <v>479</v>
      </c>
      <c r="F19" s="148" t="s">
        <v>427</v>
      </c>
      <c r="G19" s="115"/>
      <c r="H19" s="115"/>
    </row>
    <row r="20" spans="1:8" x14ac:dyDescent="0.35">
      <c r="A20" s="190">
        <v>38288</v>
      </c>
      <c r="B20" s="191">
        <v>38288</v>
      </c>
      <c r="C20" s="178">
        <v>38288</v>
      </c>
      <c r="D20" s="147">
        <v>38288</v>
      </c>
      <c r="E20" s="148" t="s">
        <v>480</v>
      </c>
      <c r="F20" s="148" t="s">
        <v>428</v>
      </c>
      <c r="G20" s="115"/>
      <c r="H20" s="115"/>
    </row>
    <row r="21" spans="1:8" x14ac:dyDescent="0.35">
      <c r="A21" s="190">
        <v>42367</v>
      </c>
      <c r="B21" s="191">
        <v>42367</v>
      </c>
      <c r="C21" s="178">
        <v>42367</v>
      </c>
      <c r="D21" s="147">
        <v>42367</v>
      </c>
      <c r="E21" s="148" t="s">
        <v>481</v>
      </c>
      <c r="F21" s="148" t="s">
        <v>429</v>
      </c>
      <c r="G21" s="115"/>
      <c r="H21" s="115"/>
    </row>
    <row r="22" spans="1:8" x14ac:dyDescent="0.35">
      <c r="A22" s="190">
        <v>36009</v>
      </c>
      <c r="B22" s="191">
        <v>36009</v>
      </c>
      <c r="C22" s="178">
        <v>36009</v>
      </c>
      <c r="D22" s="147">
        <v>36009</v>
      </c>
      <c r="E22" s="148" t="s">
        <v>482</v>
      </c>
      <c r="F22" s="148" t="s">
        <v>430</v>
      </c>
      <c r="G22" s="115"/>
      <c r="H22" s="115"/>
    </row>
    <row r="23" spans="1:8" x14ac:dyDescent="0.35">
      <c r="A23" s="190">
        <v>39236</v>
      </c>
      <c r="B23" s="191">
        <v>39236</v>
      </c>
      <c r="C23" s="178">
        <v>39236</v>
      </c>
      <c r="D23" s="147">
        <v>39236</v>
      </c>
      <c r="E23" s="148" t="s">
        <v>483</v>
      </c>
      <c r="F23" s="148" t="s">
        <v>431</v>
      </c>
      <c r="G23" s="115"/>
      <c r="H23" s="115"/>
    </row>
    <row r="24" spans="1:8" x14ac:dyDescent="0.35">
      <c r="A24" s="190">
        <v>41065</v>
      </c>
      <c r="B24" s="191">
        <v>41065</v>
      </c>
      <c r="C24" s="178">
        <v>41065</v>
      </c>
      <c r="D24" s="147">
        <v>41065</v>
      </c>
      <c r="E24" s="148" t="s">
        <v>484</v>
      </c>
      <c r="F24" s="148" t="s">
        <v>432</v>
      </c>
      <c r="G24" s="115"/>
      <c r="H24" s="115"/>
    </row>
    <row r="25" spans="1:8" x14ac:dyDescent="0.35">
      <c r="A25" s="190">
        <v>37642</v>
      </c>
      <c r="B25" s="191">
        <v>37642</v>
      </c>
      <c r="C25" s="178">
        <v>37642</v>
      </c>
      <c r="D25" s="147">
        <v>37642</v>
      </c>
      <c r="E25" s="148" t="s">
        <v>485</v>
      </c>
      <c r="F25" s="148" t="s">
        <v>433</v>
      </c>
      <c r="G25" s="115"/>
      <c r="H25" s="115"/>
    </row>
    <row r="26" spans="1:8" x14ac:dyDescent="0.35">
      <c r="A26" s="190">
        <v>36422</v>
      </c>
      <c r="B26" s="191">
        <v>36422</v>
      </c>
      <c r="C26" s="178">
        <v>36422</v>
      </c>
      <c r="D26" s="147">
        <v>36422</v>
      </c>
      <c r="E26" s="148" t="s">
        <v>486</v>
      </c>
      <c r="F26" s="148" t="s">
        <v>434</v>
      </c>
      <c r="G26" s="115"/>
      <c r="H26" s="115"/>
    </row>
    <row r="27" spans="1:8" x14ac:dyDescent="0.35">
      <c r="A27" s="190">
        <v>39372</v>
      </c>
      <c r="B27" s="191">
        <v>39372</v>
      </c>
      <c r="C27" s="178">
        <v>39372</v>
      </c>
      <c r="D27" s="147">
        <v>39372</v>
      </c>
      <c r="E27" s="148" t="s">
        <v>487</v>
      </c>
      <c r="F27" s="148" t="s">
        <v>435</v>
      </c>
      <c r="G27" s="115"/>
      <c r="H27" s="115"/>
    </row>
    <row r="28" spans="1:8" x14ac:dyDescent="0.35">
      <c r="A28" s="190">
        <v>35339</v>
      </c>
      <c r="B28" s="191">
        <v>35339</v>
      </c>
      <c r="C28" s="178">
        <v>35339</v>
      </c>
      <c r="D28" s="147">
        <v>35339</v>
      </c>
      <c r="E28" s="148" t="s">
        <v>488</v>
      </c>
      <c r="F28" s="148" t="s">
        <v>436</v>
      </c>
      <c r="G28" s="115"/>
      <c r="H28" s="115"/>
    </row>
    <row r="29" spans="1:8" x14ac:dyDescent="0.35">
      <c r="A29" s="190">
        <v>40887</v>
      </c>
      <c r="B29" s="191">
        <v>40887</v>
      </c>
      <c r="C29" s="178">
        <v>40887</v>
      </c>
      <c r="D29" s="147">
        <v>40887</v>
      </c>
      <c r="E29" s="148" t="s">
        <v>489</v>
      </c>
      <c r="F29" s="148" t="s">
        <v>437</v>
      </c>
      <c r="G29" s="115"/>
      <c r="H29" s="115"/>
    </row>
    <row r="30" spans="1:8" x14ac:dyDescent="0.35">
      <c r="A30" s="193"/>
      <c r="B30" s="194"/>
      <c r="F30" s="167"/>
    </row>
  </sheetData>
  <autoFilter ref="A1:F29" xr:uid="{064EF6F3-E77C-4A26-972C-C0961FB80DCE}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1AFEB-EDDD-46D3-9CAB-165763BAB599}">
  <dimension ref="A2:O14"/>
  <sheetViews>
    <sheetView workbookViewId="0">
      <selection activeCell="B7" sqref="B7"/>
    </sheetView>
  </sheetViews>
  <sheetFormatPr defaultRowHeight="15" x14ac:dyDescent="0.25"/>
  <cols>
    <col min="1" max="1" width="21.85546875" bestFit="1" customWidth="1"/>
    <col min="2" max="2" width="16.7109375" bestFit="1" customWidth="1"/>
  </cols>
  <sheetData>
    <row r="2" spans="1:15" ht="18.75" x14ac:dyDescent="0.3">
      <c r="A2" s="173" t="s">
        <v>398</v>
      </c>
      <c r="B2" s="173" t="s">
        <v>370</v>
      </c>
    </row>
    <row r="3" spans="1:15" ht="18.75" x14ac:dyDescent="0.3">
      <c r="A3" s="174" t="s">
        <v>368</v>
      </c>
      <c r="B3" s="175">
        <v>232939.9</v>
      </c>
    </row>
    <row r="4" spans="1:15" ht="18.75" x14ac:dyDescent="0.3">
      <c r="A4" s="174" t="s">
        <v>365</v>
      </c>
      <c r="B4" s="175">
        <v>100000</v>
      </c>
    </row>
    <row r="5" spans="1:15" ht="18.75" x14ac:dyDescent="0.3">
      <c r="A5" s="174" t="s">
        <v>371</v>
      </c>
      <c r="B5" s="175">
        <v>711816.6</v>
      </c>
    </row>
    <row r="6" spans="1:15" ht="18.75" x14ac:dyDescent="0.3">
      <c r="A6" s="174" t="s">
        <v>372</v>
      </c>
      <c r="B6" s="175">
        <v>1000</v>
      </c>
    </row>
    <row r="7" spans="1:15" ht="18.75" x14ac:dyDescent="0.3">
      <c r="A7" s="174" t="s">
        <v>367</v>
      </c>
      <c r="B7" s="175">
        <v>2000</v>
      </c>
    </row>
    <row r="8" spans="1:15" ht="18.75" x14ac:dyDescent="0.3">
      <c r="A8" s="174" t="s">
        <v>364</v>
      </c>
      <c r="B8" s="175">
        <v>10000000</v>
      </c>
    </row>
    <row r="9" spans="1:15" ht="18.75" x14ac:dyDescent="0.3">
      <c r="A9" s="174" t="s">
        <v>366</v>
      </c>
      <c r="B9" s="175">
        <v>10206.970000000001</v>
      </c>
      <c r="O9" t="s">
        <v>407</v>
      </c>
    </row>
    <row r="10" spans="1:15" ht="18.75" x14ac:dyDescent="0.3">
      <c r="A10" s="174" t="s">
        <v>373</v>
      </c>
      <c r="B10" s="175">
        <v>2000</v>
      </c>
    </row>
    <row r="11" spans="1:15" ht="18.75" x14ac:dyDescent="0.3">
      <c r="A11" s="174" t="s">
        <v>374</v>
      </c>
      <c r="B11" s="175">
        <v>300000</v>
      </c>
    </row>
    <row r="12" spans="1:15" ht="18.75" x14ac:dyDescent="0.3">
      <c r="A12" s="174" t="s">
        <v>375</v>
      </c>
      <c r="B12" s="175">
        <v>1778369.3499999994</v>
      </c>
    </row>
    <row r="13" spans="1:15" ht="18.75" x14ac:dyDescent="0.3">
      <c r="A13" s="174" t="s">
        <v>376</v>
      </c>
      <c r="B13" s="175">
        <v>2718</v>
      </c>
    </row>
    <row r="14" spans="1:15" ht="18.75" x14ac:dyDescent="0.3">
      <c r="A14" s="173" t="s">
        <v>283</v>
      </c>
      <c r="B14" s="176">
        <v>13191750.82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C2A6B-62D7-4114-A64A-88DC545A027C}">
  <dimension ref="A1:B17"/>
  <sheetViews>
    <sheetView workbookViewId="0">
      <selection activeCell="B3" sqref="B3"/>
    </sheetView>
  </sheetViews>
  <sheetFormatPr defaultRowHeight="18.75" x14ac:dyDescent="0.3"/>
  <cols>
    <col min="1" max="1" width="21.85546875" style="71" bestFit="1" customWidth="1"/>
    <col min="2" max="2" width="12.7109375" style="71" bestFit="1" customWidth="1"/>
    <col min="3" max="16384" width="9.140625" style="71"/>
  </cols>
  <sheetData>
    <row r="1" spans="1:2" x14ac:dyDescent="0.3">
      <c r="A1" s="71" t="s">
        <v>392</v>
      </c>
    </row>
    <row r="3" spans="1:2" x14ac:dyDescent="0.3">
      <c r="A3" s="149" t="s">
        <v>369</v>
      </c>
      <c r="B3" s="149" t="s">
        <v>370</v>
      </c>
    </row>
    <row r="4" spans="1:2" x14ac:dyDescent="0.3">
      <c r="A4" s="150" t="s">
        <v>368</v>
      </c>
      <c r="B4" s="151">
        <v>230000</v>
      </c>
    </row>
    <row r="5" spans="1:2" x14ac:dyDescent="0.3">
      <c r="A5" s="150" t="s">
        <v>365</v>
      </c>
      <c r="B5" s="151">
        <v>16881.140000000003</v>
      </c>
    </row>
    <row r="6" spans="1:2" x14ac:dyDescent="0.3">
      <c r="A6" s="150" t="s">
        <v>371</v>
      </c>
      <c r="B6" s="151">
        <v>711816.6</v>
      </c>
    </row>
    <row r="7" spans="1:2" x14ac:dyDescent="0.3">
      <c r="A7" s="150" t="s">
        <v>372</v>
      </c>
      <c r="B7" s="151">
        <v>2700</v>
      </c>
    </row>
    <row r="8" spans="1:2" x14ac:dyDescent="0.3">
      <c r="A8" s="150" t="s">
        <v>367</v>
      </c>
      <c r="B8" s="151">
        <v>3275140.1699999976</v>
      </c>
    </row>
    <row r="9" spans="1:2" x14ac:dyDescent="0.3">
      <c r="A9" s="150" t="s">
        <v>364</v>
      </c>
      <c r="B9" s="151">
        <v>792</v>
      </c>
    </row>
    <row r="10" spans="1:2" x14ac:dyDescent="0.3">
      <c r="A10" s="150" t="s">
        <v>366</v>
      </c>
      <c r="B10" s="151">
        <v>10206.970000000001</v>
      </c>
    </row>
    <row r="11" spans="1:2" x14ac:dyDescent="0.3">
      <c r="A11" s="150" t="s">
        <v>373</v>
      </c>
      <c r="B11" s="151">
        <v>320409.93999999994</v>
      </c>
    </row>
    <row r="12" spans="1:2" x14ac:dyDescent="0.3">
      <c r="A12" s="150" t="s">
        <v>374</v>
      </c>
      <c r="B12" s="151">
        <v>75005.789999999994</v>
      </c>
    </row>
    <row r="13" spans="1:2" x14ac:dyDescent="0.3">
      <c r="A13" s="150" t="s">
        <v>375</v>
      </c>
      <c r="B13" s="151">
        <v>1778369.3499999994</v>
      </c>
    </row>
    <row r="14" spans="1:2" x14ac:dyDescent="0.3">
      <c r="A14" s="150" t="s">
        <v>376</v>
      </c>
      <c r="B14" s="151">
        <v>2718</v>
      </c>
    </row>
    <row r="15" spans="1:2" x14ac:dyDescent="0.3">
      <c r="A15" s="149" t="s">
        <v>283</v>
      </c>
      <c r="B15" s="152">
        <f>SUM(B4:B14)</f>
        <v>6424039.9599999962</v>
      </c>
    </row>
    <row r="17" spans="2:2" x14ac:dyDescent="0.3">
      <c r="B17" s="7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DF644-CA8F-48F6-9A17-7A2620E44C4C}">
  <dimension ref="A1:B15"/>
  <sheetViews>
    <sheetView workbookViewId="0">
      <selection sqref="A1:B15"/>
    </sheetView>
  </sheetViews>
  <sheetFormatPr defaultRowHeight="18.75" x14ac:dyDescent="0.3"/>
  <cols>
    <col min="1" max="1" width="21.28515625" style="71" bestFit="1" customWidth="1"/>
    <col min="2" max="2" width="15.42578125" style="71" customWidth="1"/>
    <col min="3" max="16384" width="9.140625" style="71"/>
  </cols>
  <sheetData>
    <row r="1" spans="1:2" x14ac:dyDescent="0.3">
      <c r="A1" s="71" t="s">
        <v>393</v>
      </c>
    </row>
    <row r="3" spans="1:2" x14ac:dyDescent="0.3">
      <c r="A3" s="149" t="s">
        <v>369</v>
      </c>
      <c r="B3" s="149" t="s">
        <v>370</v>
      </c>
    </row>
    <row r="4" spans="1:2" x14ac:dyDescent="0.3">
      <c r="A4" s="150" t="s">
        <v>368</v>
      </c>
      <c r="B4" s="151">
        <f>'Ref Jan'!B4</f>
        <v>230000</v>
      </c>
    </row>
    <row r="5" spans="1:2" x14ac:dyDescent="0.3">
      <c r="A5" s="150" t="s">
        <v>365</v>
      </c>
      <c r="B5" s="151">
        <v>400000</v>
      </c>
    </row>
    <row r="6" spans="1:2" x14ac:dyDescent="0.3">
      <c r="A6" s="150" t="s">
        <v>371</v>
      </c>
      <c r="B6" s="151">
        <v>500000</v>
      </c>
    </row>
    <row r="7" spans="1:2" x14ac:dyDescent="0.3">
      <c r="A7" s="150" t="s">
        <v>372</v>
      </c>
      <c r="B7" s="151">
        <v>600000</v>
      </c>
    </row>
    <row r="8" spans="1:2" x14ac:dyDescent="0.3">
      <c r="A8" s="150" t="s">
        <v>367</v>
      </c>
      <c r="B8" s="151">
        <v>700000</v>
      </c>
    </row>
    <row r="9" spans="1:2" x14ac:dyDescent="0.3">
      <c r="A9" s="150" t="s">
        <v>364</v>
      </c>
      <c r="B9" s="151">
        <v>800000</v>
      </c>
    </row>
    <row r="10" spans="1:2" x14ac:dyDescent="0.3">
      <c r="A10" s="150" t="s">
        <v>366</v>
      </c>
      <c r="B10" s="151">
        <v>900000</v>
      </c>
    </row>
    <row r="11" spans="1:2" x14ac:dyDescent="0.3">
      <c r="A11" s="150" t="s">
        <v>373</v>
      </c>
      <c r="B11" s="151">
        <v>1000000</v>
      </c>
    </row>
    <row r="12" spans="1:2" x14ac:dyDescent="0.3">
      <c r="A12" s="150" t="s">
        <v>374</v>
      </c>
      <c r="B12" s="151">
        <v>1100000</v>
      </c>
    </row>
    <row r="13" spans="1:2" x14ac:dyDescent="0.3">
      <c r="A13" s="150" t="s">
        <v>375</v>
      </c>
      <c r="B13" s="151">
        <v>1200000</v>
      </c>
    </row>
    <row r="14" spans="1:2" x14ac:dyDescent="0.3">
      <c r="A14" s="150" t="s">
        <v>376</v>
      </c>
      <c r="B14" s="151">
        <v>1300000</v>
      </c>
    </row>
    <row r="15" spans="1:2" x14ac:dyDescent="0.3">
      <c r="A15" s="149" t="s">
        <v>283</v>
      </c>
      <c r="B15" s="152">
        <f>SUM(B4:B14)</f>
        <v>8730000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V i s u a l i z a t i o n L S t a t e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. L S t a t e / 1 . 0 " > < c g > H 4 s I A A A A A A A E A M 1 Z 2 2 7 b R h D 9 F Y J A 3 5 r l 3 i + G R M O u E c u N b Q i 2 0 / R 1 I d I S E 4 p 0 y a W d 9 N f 6 0 E / q L 3 R I S n K k K B C t V K W f B F L L 5 d G c P T N n R v / 8 9 f f g + P M 8 9 R 7 j o k z y b O g T h H 0 v z i Z 5 l G T T o V + 5 + z f a P w 4 H p 3 B 5 a d 1 l n v 1 i J 7 P Y g 4 e y 8 u h z m Q z 9 m X M P R 0 H w 9 P S E n h j K i 2 l A M S b B 7 1 e X t 7 B y b t 8 k W e l s N o n 9 1 V P R 7 q f 8 c H B R t g + s F s + T S Z G X + b 1 D k X U W P S Z l Z d P k T + s A O p r G O Y u C G j 8 8 6 X 0 a + s c 2 m i f Z W V K 6 I p m 4 4 X v n b P E T x e P C R n E 5 g 1 W / 2 b S K v d l k 6 N / b t I z h z n m c 3 8 R l n l b 1 j u X G t Z e 6 o U 8 l M p Q y Y j i p P z g X v p d C 3 D R G Q i o h s B S G K C O 1 h j D C + p M W A 0 C F H Q m 8 4 m 1 e z K 1 z c X Q S R U V c l m G D y 1 u g G g T f f D 9 Y L H y b x G k E m O q f k 0 0 9 C P 1 R l q R D 3 x U V R D b Y / 4 v w / X g Q t L v u 3 C S 8 y K L E P i 8 P N s A F a x E M B + v X g D 5 o g g 6 f F 9 t Z u r I z W 9 h y 5 g q 7 J 0 P E I C 4 I w Y w S z L m h x L Q M K Y k I 1 g Y b i a V h T H b l 5 y t E v b B z N X o O 9 w 7 u D 8 D O H 1 V c f B k + V F k t j 2 f B N I d u Q x 9 b 9 U I 0 E p g D C V g I o o T S Z M E G Q 1 o w T I w i n A n B J b B U 6 2 W c P 1 S p B X m M U w s Z Y 4 t e x o D l Z 2 9 x D n 9 U L W G 9 2 2 Z 8 t 9 / s l 4 f 1 X D Z K 5 p C F b f r D 6 Y w R S G e M a s 2 4 A E 0 Y w h f 0 K E Q F J h J T o q g W R H S W y x J a r x l t 9 I o y 2 n l h s w i I u s u d T d d E t L 3 q 1 K l 8 V 5 a 8 i 1 O b T W 2 2 d 4 5 U S B l j M M a C G 0 Y k X 6 r S I C h g k o J i K Z N w L u B + t y q 2 Q t R L j r y 7 3 d T w d + v j A X L k u j b P q 4 9 Q w V w H p j f y Z + s v K F L g I 4 w h W I A o j V w y Q 5 A E R i R o U n O h M O v M z A J P L 7 y c / / p 6 e D m z U W F B h 6 0 a r + 2 0 c Y M j + x i n y b 5 k Y U Q V x l R B o p R g B W t S a j O o G I L K Z j i j T D H M X 2 A G G 5 A e Q P Q a g F 4 L r x f u z q 4 P x t 2 a S W y P P U Z M E o 4 h 5 0 h q m F n a 6 j q S R h N q q K J c Y s O 2 2 W q 6 z S b 8 7 5 E M v / f G d W s d H j C u L 3 b b d 3 a e 1 C b i 2 k b V n h o g 0 H E R Y a Q C 9 4 C V E U u 3 r R E n G K y D 4 U b h l + S r B h M c / 6 j q 5 d j f H e 7 Y v 5 i e D 3 H p g J 3 T G G p 9 F + u w t a C A 0 W Z A g e Q U u h / N a w U 1 D a t C B t w 4 l Y I K r f T C f u 9 u V 2 t M X o u o F 3 4 + n B 4 s L b 2 Y n 3 e 2 y G A Q 8 W l v G 8 Y R a I N B 8 0 M k M V q t 6 g e 0 q l I b p q R m 4 A N W z d F u d l a I e u H m 3 c n r 4 e Y s T m d 7 1 3 W N Q C 5 G M o 4 N p 0 z T h W a U Q o S A W g T l v C 5 W F I Y / 3 e x x g 6 Y X T s 4 u + + S k H R / A R M 0 + V M V a h e k + Q V B I C o 0 Z T G 5 g X l C P E B Y m S y C D p R b g D C i R M H L r P E G 4 n b V 4 / r s p w n L H z V C H t + 2 b v r n / q o Y J t v i y f y t J D S J G C g W J j D a j n M V A F M Z t j M P c A E P X o q R p v H E 3 r Y x a P L 2 o Z X S z S V V / j e S N / W h L N 7 P Z m m 6 2 D w 2 2 V n 6 J h I Y J a E 0 A 1 l + 1 k u A I u F a Y c C B N 4 G Y k 1 4 2 Z F a J e u L n p q Z k M L u q 5 9 c Y f I O G / 3 5 i F x D s Z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< / c g > < / V i s u a l i z a t i o n L S t a t e > 
</file>

<file path=customXml/item2.xml>��< ? x m l   v e r s i o n = " 1 . 0 "   e n c o d i n g = " u t f - 1 6 " ? > < C u s t o m M a p L i s t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. C u s t o m M a p L i s t / 1 . 0 " > < m l > H 4 s I A A A A A A A E A L W S S 2 7 b M B C G r y J w r w f 1 p A J J Q Z D A q A E n L u o U t Z c M R c l E J V I V q c o 5 W x c 9 U q / Q s R R Y D r L o q t B G 8 / 8 z w 4 / D + f P r d 3 Z 7 a h v r J + + 1 U D J H 2 P G Q x S V T p Z B 1 j g Z T 2 Q T d F t n 9 o I 1 q H 2 m n N 0 I b C 2 q k v j l p k a O j M d 2 N 6 4 7 j 6 I y B o / r a 9 T 0 P u / v H z Y 4 d e U t t I b W h k n F 0 q S r / X Y W u j 7 z 6 t 7 5 K 8 W P g F 5 w 1 9 H q p Y u a F q W / j p O R 2 G J X E p j E L 7 S r h N E 0 j T m I P I + u J t j x H c 6 E F F 7 F A W 7 e 0 5 g 9 C d w 1 9 n f 0 n J Q F 0 0 r + J 0 h y 3 M J l P X N R H A 7 M B Q z / z t l M 9 7 V 9 z V N F G 8 w v o r q O M P / C q y N Z 6 N 9 J u T 2 V 5 K K a c z L 2 W w L + n j X j p q e F b u R K 9 N k v a B w e y N 4 p 9 5 + W S 8 x Z n d y e h 9 9 a O 0 Y Z / Z j P f F G y r S n M z S f C Y a 3 0 3 G A V 9 2 d D A i T C v m f t s Q I N V I 7 p u U Y u p 6 x c q a 2 6 t e t X m K M F O H M D n 4 Z i E U e I F M I Z n l S O S O G l C s B 9 H f k Q S k i L L L T J 3 Y p q b H P 4 7 G o Z t x V E a J 0 G c e k k a A c O Z L M B O 6 g c + I U E Y B W D h c G E 7 A O O 8 A 8 t 7 v Q m w E x f z v O j v g v P W F 3 8 B T t F j Y S 8 D A A A A A A A A A A A A A A A A A A A A A A A A A A A A A A A A A A A A A A A A A A A A A A A A A A A A A A A A A A A A A A A A A A A A A A A A A A A A A A A A A A A = < / m l > < / C u s t o m M a p L i s t > 
</file>

<file path=customXml/item3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T o u r   1 "   I d = " { A F 6 B 5 C 4 D - 2 E 7 D - 4 0 A 8 - B C B D - A D 7 0 7 E 8 C 7 3 F B } "   T o u r I d = " 7 7 5 5 3 6 f a - 1 f 0 d - 4 b b d - a 8 8 c - 5 5 9 e c f e a 3 b 4 8 "   X m l V e r = " 6 "   M i n X m l V e r = " 3 " > < D e s c r i p t i o n > S o m e   d e s c r i p t i o n   f o r   t h e   t o u r   g o e s   h e r e < / D e s c r i p t i o n > < I m a g e > i V B O R w 0 K G g o A A A A N S U h E U g A A A N Q A A A B 1 C A Y A A A A 2 n s 9 T A A A A A X N S R 0 I A r s 4 c 6 Q A A A A R n Q U 1 B A A C x j w v 8 Y Q U A A A A J c E h Z c w A A B C E A A A Q h A V l M W R s A A N h X S U R B V H h e t P 0 H l K T Z d d 8 J 3 g y f G R m R 3 p v K 8 q 6 r q k 1 V + 2 5 4 1 w B B Q v Q A r U i K F D X U z n B X 9 m h 2 a k a a n d V K q z 0 6 M 7 t n Z l Y 6 M 7 s j r S S K G o E E C H o A j U Z 7 V 9 6 n 9 y Y y I y I j M k y G 2 f / v f p n V 1 Y 0 G w N F q X / X X E f n F Z 5 6 5 5 n / v u + + + l p / 7 r f 9 H 0 1 T a U 2 3 2 V / / a l 2 x 6 8 p 4 t r S 7 Z 4 t y c 3 b l x y V K d g 7 a y t m J X r 1 y z S r V k T f 2 L h B r 2 7 O P n 7 d U 3 3 7 F s y S x U L d o / / n u / Z T c u v W n 9 / Y N 2 8 u R p m 5 2 d t 9 6 e L k s k U 9 b R 2 W 7 X 3 n 3 T m s 2 y R e N h K x W K F o v G r L C 9 b d V G 3 Y o 7 R V t Y X r L W 9 n b 9 V r C + 7 l 6 L J 2 M W C r f a + G C f D Q 2 O 2 E q m a v W G W a V W t 5 Z m 0 7 a 2 N m 1 k 4 o B 1 t i W s p V 6 w a q V k R d 3 b b N S s V i 1 b o 7 Z r z V D E 4 h 1 9 l s m u 2 / b G l s V j M b 2 j z e q 7 N b 2 7 Y J F o x D o 7 e 2 1 h a c G W 1 c Z E a 8 L G D k x Y Z y p l c 9 N T N j 4 y Y t V a 2 W r N s N V 2 q 9 b d n r R s N m v R R M J 2 S j u W b k + r 8 S 2 W y 5 d s e W X d U h 0 p U + W s v T 1 l 1 V L F u r p 6 r H 9 o W O / a s a 3 N b f V c S H 1 Y t d a O d k v E E x Z S f 9 y 7 + b Z t b G x Y V H W L h M P W m m 5 T O 0 q W z + / o n X X d 3 2 c 9 X V 3 W m e 6 w 4 Y F B q + r + 1 d V V S y a T t r K y Y k m 1 P 5 5 Q v X Y q d v a R 8 7 Z r U V u Y v G 3 J e M N 2 q z u 2 O D N l Q 3 3 9 1 p 5 O 2 b 0 7 d 2 1 4 Z N Q 0 C t a I J K 2 Q 3 7 K 2 N v V J L O n 9 n o i 2 q P 7 q N 1 E E 7 + n s 7 N T 3 F m v W 6 1 Z W e 0 O i k x L t 7 u q 0 U r l s b c k 2 s 7 p Z W P X e 2 d l R X + 2 q P 0 I W U 1 t K 5 Z K F Q 2 G r V C r W 0 d F h x W L R P x c X F / X O N n / 2 9 P S M N d R f 9 W b D G n p p v K 3 V w i 0 t 1 q j s q g + T N j g 4 Y H N z C 7 a Z y d u n P / N 5 u 3 r 9 q t V U l 6 z 6 5 r d / + 2 / a H / / R d + w L X / i C / e N / + l / Y w Y m j 1 p H u t r t 3 p + y F z 3 3 B / l / / y / / T / p u / / 3 + 2 e r 1 m / / i / / Q e 2 k V u 2 S M 0 s 2 h K x 3 X j E u l O d l m y N W 3 W n Y L v q Z 4 u 2 W T l U t V C k R U P a t I r G T A N i w 7 3 9 F t V 1 v / 9 n s 1 Y L t V s s 0 W r p R N S O H R 9 T H 8 f t 6 P F j d u v d H c t r z C j h c 0 9 8 / q K 6 0 T 7 / o + f F Q F d s V Y R V 3 d V g V G p 2 5 + Y d O / v o e e v s 6 L Z 3 3 r o s A m 9 a t a 4 O q F V t a n r a d m p h a 7 a E 7 O h g 0 h L N r A 0 N p C w a a d r 6 + q K V K l l b W J m x Y i l v W 5 l l y 2 2 t W t 9 A r / o 7 Z C 2 N p g a o b C O D Q 9 b Q K I U j E R + g Q j F v 0 T D D 1 r D 8 T s 0 W 1 z Z s Y u K g r c w v 2 8 2 b t 2 y 7 A J F V N G h 1 O y G m X Z q f t 7 Q G t V H N 2 5 K I a 1 e M l F A n q I L W 3 d 3 p D H h r c t a J 4 f S x o 6 r H i h 0 7 c t R K Y m A I M a y G h 0 J N 6 + s T A 8 f i t p 3 f 9 r 8 j k a i 1 q u O u 3 7 g p B l Z f 1 J r W F h f h J W L O E O V S y e L R q H d 8 S Y Q U j 4 m o o 3 F L i F l b W 9 X h 6 a T + D j n T 3 7 t 7 1 w q F n L 6 v W a 8 G 6 8 h Q p 8 2 v T N p W d t H C d T H H 5 q a 1 S Z C M j I 3 b g U O H r K A B 7 h T B 7 t Z F V H p O V E K h S 3 8 j f K 5 e u W q b O T G f 3 t 0 m p m 0 R I f d J W I X E 1 A 2 N y d z M t K 2 r z 0 6 c O m 6 3 7 9 6 z h s Y q G Y v Y Y F + P V d W / t Z o o S n X u 7 E x L a I h 4 m x J S E k T L S 8 t 2 + N B h j b u u 0 X s p v K N F x F 3 M 5 / x e C F N d o f 5 o S g C W 1 c 6 E n r f r g n F 2 d t a Z J K Z 7 w n o f H F m X 4 C s W C 7 a 0 t O Q M R n H B o W s K Y l 4 Y D Y F w 8 O B B S 4 v R q r u 7 6 t u K G E w X i j 5 2 C t s S K n k x q 4 R i v N W J / q d / + p e t U t Z 4 9 f c 5 X b 3 4 n T + R M A m r r d f t y 1 / 5 a f u d f / u v 7 d i x Y 6 K V m 3 b 8 x A m 9 N 2 r / 6 B / 9 E / u 5 X / y K f e u l P 7 W Y + j l U D 1 n / w J A E Y s V K W 3 m 1 a 9 f p m f 4 M 6 + U h t Q + B 2 l B 7 K x W N d W P X U h J Y B 0 f S t p 6 t W K X U s K b 6 v V A U 8 7 U 0 b K c a t S / / + H l 7 + + 1 F o + r h c 0 9 + 4 W J M h L K V m 7 G 3 X n / L L l 2 7 Y e + + c 9 k u v / u O b W a 3 7 Z o G 8 e 0 3 3 7 W a 7 W i Q o 6 p A U 5 0 e t r o G p m k x G 0 x V 7 U e e P W N j v V 2 S / H U R / b Y l 9 L y e V I d 1 S M q Y K h S T 5 C u K 8 E K R V p u a m p Z Q a 1 p P X 5 8 q u C G p 0 i H p v i I m X L U R S e A W M W h I B B 1 p S 9 l 2 s W z t 8 R Y b 6 O 9 1 7 S j d p k r v 2 u E D I 7 a T W 7 e u 9 l Z J 1 x a 7 p Q 7 d 2 t y S J u y y i g Y j 2 S E C U j 1 f f u 0 N O 3 r 0 s K 0 s z Y n R N D B i k n t T s z a 3 u C x O i k j C q n 5 N a q N q i l j m F + e s t 7 f H B 7 n Z E r Z 2 a Z y I m K W m w Y 5 I i m 5 s b d u q N F 0 s 3 i a m S 0 i y 7 l q v 6 i a d K W K T 1 s z l N B B 1 2 y l u S 6 q u i w m K E g i j G p i i z l f s 0 R N n 9 M 6 0 L W Q z 0 t x J M W n S Q p J y v d I g Y + M H 7 P a d 2 6 K l m p U r Z d V V G k t M G Z Z e Q C P l 9 e z e 3 m 7 X x E j v k O q X i L V a X p q 2 U C z p u e 3 W P z h o u + U N X b 9 k 5 8 4 + b J W i N O P W l j R 0 1 r Z F Q L G 2 p B B H n 5 g y b 6 1 7 R N r V 1 W 1 5 M b 4 6 R O 9 W G z d W X W C g Q R A O D b U r I q a p q S Z J a Y C j x 4 5 L G O R E 2 B q b Z K u I U U y q 9 j f F R C k R Y q I 1 r e d K 8 E o o t w u d x C X N 0 a Y I 0 r g 0 O 3 V v q L P 7 B / q d C e m v u h i z V C 4 G 7 9 F v M G C b 6 h d V H / B 7 V Y x W l h C 8 f f O G b W i c t z b X b G l x U n R l t j g / 6 Q z / 6 q u v + n g s r i x I 8 D f s y u W 3 7 e q t t 2 0 3 V L Z L 1 9 + 1 e S G g o j R 2 W H 3 a 0 l K 3 d G f S / y 6 o 7 Q i k q j R o S G g p 0 d 5 h O x J e 7 R L U I J k u j V E 4 H v X 2 H Z P i u D W X V X M l I M Q 9 j R Y J E P V b e 7 L F V p Z r z h v h h 5 / 4 w s V n P n n S b q m y m 5 m M 4 E b Z y m W p b x E R H Y v q r m u Q 1 U z v c N c w s K J U Z y x U s c 8 / d 9 w e P 3 3 K p V V O E i W v y q Q k C Y A A u e 2 8 z c 7 P u k T q 7 B p 0 z T A 1 N e U M t 7 S 8 K M 1 S F 3 H G L S M p D U S r e + d V p R G q 0 i C t I p 6 K t S f 0 H m k P S j q V V K f H r V T M 2 c 3 r N 2 x a c K Y g K Z h s j V l a G m d H d b 0 m W N A j R r g 2 O W c d I p b p + Q V J + R b V 1 U S A G j C 0 T U f a o V t B 0 B M Y t r y 4 I i K u 2 P j h o 3 p v u 8 P G + d l J O 3 j g o D r M X B s V R J x J Q b y K i L B d h J N U v S J i f u r e I m i z l a 9 I K 0 r S a v B 3 1 H + t I q L B 7 r Q P z N r a u r R J x I r S r P c W 5 i y 7 v q U B q j v D n D x 6 x C X 5 v K D Q 8 s q a h a J h 6 + p J i 2 F j l t W 7 S t J u 5 W p N D J C w N v 0 2 N D Z g 6 1 s Z I R T B D 8 G 4 G m o j H J e m j 1 h m b d V i a G j V P 7 8 p p p V W r W g c a 4 J t V a l r j b c T T 6 m Q F 5 o J u X R G e w 8 M D 9 u O E A m C t S v V r v 4 3 a 5 O m q f F F z 4 5 I a / N M k 0 Z d m J 3 S 2 G 4 L 2 v d 6 n z H e H b q H 8 U 8 k G M s N v a O p 7 1 H 1 R U n w W / e q n y I S a G g b N C / Y k c + e d K + 0 e U o 0 A D Q s i R G E e K Q l e r r 7 p C 2 a 3 o c N E V u r a C G h M Q j p / R a p 6 1 4 J d 5 k Z b S J 0 N H h Y z w 8 L v s f 1 / n h 7 X P 1 V k j L Y 0 N 8 R v b o h 7 a P 7 x f z Q 2 q 4 E f C a 3 Z X d k 2 l R V h x Y 9 o 6 p z O 0 I + O 4 L 1 A m G u a R G K U d U 3 L L i n L r O m + j 7 c D N m g U N j d R S k H v b O h + g 4 P 9 q r N B X v h C 2 f t 5 t U N C 3 / l F / / q x Z m l e 7 a x v m n J y K 4 g y L a k T 0 k V 1 k C o k x q N s A Z L 0 E A v Q i f x D 6 k F 1 v 3 0 R 0 7 Y W I c k q V 4 I M W f z W R s Y 7 B c U W 1 K n h p 0 p S 8 L D 4 X D M R o d H H L b 0 9 v R I C q 7 Z 0 N C Q 2 z R F D W g S S S X p A B a n 8 l W 9 G 4 Z q 0 6 B Q j 4 6 O L j F T u w i 2 y y 5 f v S q p n r S J s R G d T 7 n d t L q + 7 t q m q 7 v b I e J 2 u e L a r b q z 6 4 P 6 y E O n R A Q F d X p M 5 / M + g H X V d 6 C 3 1 w q S 1 k O S 7 E P C 6 3 3 6 O y L p s y m C b 2 t N W V l S d m 5 B 2 k y d 1 9 n V C x L R I M i O E O S J i U C a 0 q S J t D S O G K E C c R Y r g p m C K x I m E A a S r F y R / l L 7 O z t 7 J K m l 1 c Q k T R E 3 9 l t G M P D 6 r W u u A f N i 8 F G 1 a X k 2 0 J K 0 + y s H H r d 3 V 6 f U 4 7 K t 1 E e 7 G n S Y e H B g 2 F a X 1 6 w p 4 d D d O 2 h J 2 Q N 5 a S k E X k Z C E a Y / f O S 4 2 5 D z E i j A Q Z g L i J v T G I 3 r P W g N t 4 d U / 5 0 d E T O / Z b f c R u n s 6 n C t x W 8 l 1 a O s v m K c B H Y E 2 / t d e w E H 4 y J Q B G x Z 7 Y V h k O L Y w 4 x 9 W V o j J 6 2 a l E b e 2 s r q N 9 m a + n t X T M r 4 I i Q j I l w E k r r V I X 9 U / X l A m n p X U A v I x d h i W / U J z f T 2 d F t W 9 3 O A b h A G Q F p U R V j C X R w o 2 l 2 V n J e g k L D a E m M z D t i x K T H t d m 4 7 s L F 1 B 7 A 0 K a H f E C x t a 5 U d K A J u q h 1 R t S e O f Q c D C 9 I y T r p Y J g n I r G Y z g s b t C S G I U s 2 y l b i Y e d c K 0 v w h 2 d g H h 9 t E 7 + 0 W / q / / L / / F x W + / c c k + f r L T C e e G I N l u G f w o P K t / d a n H h m 5 Q f 6 D l v N N E I T b c E x b M q 1 t c n Q e G H p G x 6 1 p J D Y a B w K T A p l 1 V C o Y A O y M d 1 9 b W V K G q E 0 2 7 G s V A t U k K w K Q M U E 7 G Y E N v K m o Q I 2 p k R 7 p T A 5 L T 4 A r G i R n A 9 F l h 3 3 v T 8 5 J e E T G T C E h S t K n v r 7 3 5 p i D B j s X U G a v S g F V J 9 k f O n p G d F f f 3 1 C U a x S N q 2 6 4 M 9 U G 3 V + h M n C 7 Y K Q N i 8 m R b n 2 B d 3 p 5 + / i M 2 v 7 B i J 4 6 f E d y s 2 + N P P K 2 2 7 Y g J t u 2 v / s Z v 2 M z k t P 3 o j / + y 4 F V R G m 5 D 7 R 8 T o Q 9 J W G z Z w w 8 / 5 u / 4 q S / / Z b t 0 5 b p 9 5 e d / y c Z G J 2 x 2 8 r q k X s w d M M O S 8 O l 0 u + w y Q Q t p m f G x A w 4 Z T h 0 8 b D V p z h 0 R z M D Q q E 2 u L 9 m m b L u S m C 4 p D d 3 d K Y g m A 3 g z k 3 W Y C 3 w a G h l x a V p W e 5 q 6 L y w 4 v r S w Y D 0 i J m z S i M Q u D C O y s R F p I 1 l c j K T G J O K C r E W M V x X k a o h h Y 4 J a j H 1 C e A o m p N + A 5 D A 0 Z V X j B y S D o b Y l I I G F C B c Y G e b q l D 1 U F 4 1 g r 3 H N / N y S C 9 b x 8 Q k 7 f e q 0 b Y q 5 q t K G V Q k D N F J M W i U n M 2 F T b Q G C Q r j C Q K q H N H R 2 0 5 0 3 W 2 K 6 k t B S u Q z d 9 D l 9 R K S J w 2 K e m s Y Y 5 0 d K 6 G G 3 p R a M q S S H O 0 z U N 0 l B O F Q i N h 0 a a r B v w I 5 I 6 D a w j 2 S T o 5 F A L j g r e i T 0 e j o 6 L a 5 6 5 f S c m O B + n 8 y H T d E b i K J f t m h J C n a w K 2 5 z K z n R H H Z 4 R I z V s P X c r p 0 + P m j h j k M P X T z U F 7 G z E 2 n 7 x n f e l i 1 T V M X F T O r o u r S T S W s h a Z E U T R 8 S D U R T 9 s C p H u t P t W n g l s U w e E z a n Y j S q S 5 X 0 9 0 9 v Z K G 2 3 b 6 9 F k 7 K g M R o / + 7 L 7 9 u Z 8 4 + I r i 3 Z s u Z V Y d O S N x d M V h c k q I h r s W 4 x z k Q E + S B S L B x 1 D 7 v k I q u O 3 f m n D N 6 j Q 6 S T X B P E v 3 z n / 9 L 9 t M / + U t u k P / k z / 6 S v f 3 O J U m Y D j t 2 + L B g g n C y Y F N e G q u g 3 l j J a O D E I G 2 y p 8 p o Q h F A W Z 2 7 q 4 G 5 d X d a A 7 J r x z X w G O d T Y p o j s s E Q F n F B A 5 w m B y Y m Z J M t S f L P 2 u T k l D 3 7 1 O P W 0 y N N m V + 3 8 x e e t F u 3 b r v k / / G f + A m 7 O z U v x l 6 1 z P q G G 8 m v v / x N n Z t 0 Q g r L o M X Y F V B x A 3 d 9 M y s j f N v q g i n l i O B O P W L 3 R M h 4 1 G 7 d n X K N s i n C y m x K y o s B n 3 3 + e X c g 1 Q Q x M z L 2 J 8 Z H h c j 0 X Q y Y A r p J u + C w q Q p + t g i C I f E T s m E 2 N z a l R Q q u f d A i 4 P e i + u W k 2 i m x q f 5 u k R b I W J d g c U 9 P l w g + 4 e i g K r u u s 6 t L 5 7 q d U X Z B H 0 7 k Z Z f y M B O M h j b b y h V 8 v N F G a G W J f x F / 2 D 1 9 o B C 0 I A b / t j T G Z l 5 w X 4 T P M 6 V r x C h R 1 1 b A Z p w 7 I Z 2 P i G F K J d m V Y l 5 o c 2 0 j o / E I n C K C A q 7 9 a h W c B X g 2 q 2 q v t I 2 e w / d o R C a C 7 g F u w p z Q U E Y 2 6 a 7 q 2 S G h f 1 C C r J D N i + Z w i A n G 6 2 g J S f h L E K 3 q P M 6 5 7 v Z O a d O w d a g / W 0 E u V r G D s n s n l w U L R Y s h r t c x M t p m 4 V N P P H f x 1 z 9 z y q Y X V i 0 l I / L q j S l J 5 J p w t y q I B 0 4 E j l J C M 3 G E N T g H h x J 2 c L D V L p x 9 y n b U q V k N M g 1 o F 1 O V B S 9 Q 6 R i u H Z 2 9 T g w R S b 2 y s P R T T z 8 j W F i y T 3 / 2 C 3 Z X G H Z + e c H t i I S I q C k 7 r a p O a 5 V x 3 S Z J U t H 3 t n Y G S n i + N e l 4 H Z y b 7 J Y E E S H W J M 3 d K G 6 0 6 b 3 d 9 u z T z 9 v C 3 K q d O H n W 3 a e f + u Q X b P L G 2 5 Z u j 9 n a + p q M 8 R 4 N k j C 4 p N X 4 6 I h j / K J s A a D r y J C k N l C q f 1 A E t y I m m B V h L g t m p E W w O / b K d / / c b t y 8 K m 2 4 L K Z d s i t X 3 l Z 9 R I w N Q U v B t r w I M J V u s 7 f f f l U E h L T f t p e / + 0 1 r 7 h Z t f L j H t t Y X 7 Z b u 2 a l o A C T 1 y m g b 2 X 1 J 3 V O q h O 3 0 2 S c F L d d c e 5 4 7 f d 4 O 9 B + 2 J 5 / + p G z A A T 2 7 a g M 9 I 9 b S i N m h A y f t + Y 9 + x i 4 8 8 p w E j 9 5 3 6 T W 1 a V u Q Q 2 O j Z 4 6 I O D p k f 2 R E c G V J + + x 2 T p B Q 9 o g k a E h M C h H u 6 i X x 1 q g T c 1 U E j 0 3 Z l P q a E z S E k E q l o u i g 1 V Z X V s X o u 5 L 8 P W L c L W m e f m k e B K p Q h 2 w N b E N Q h 3 v w R C v 6 n y B 3 l 8 a l 6 l 7 K H U G / Q c F / C D G s 5 w I X m 7 p O 3 e 1 M D F P 1 d P f q / R L e + l 6 U w G s I J i f x s E m I A t u a E u o 1 M Q U O l L H R M X f 6 x I V q B g Y G h Q S E T M R 4 K Q k G a A / Y C v R s C B G F p H F P H j 9 h 0 / e m x Q Q p a R u h I A n f V v U 9 d I X w j G n 8 W 8 Q 0 N b 2 j J N r q V V 0 3 J L B w i n T L d I g I X W 2 o j 4 a F P E Z F F z B 7 Q r Y Y K C C W 7 F F d N Y Y S y q u b s s P U t x G 1 K Z d v W P g v / e R n L 6 b C F V t a n N O L a 6 r o i m U l p R v q 5 H C 4 b k n s J z p e H Y J 3 J N l S t i f P 6 S X S Q H h e 1 A K f J 8 H N f P f u H T e + g R A N c e P n P v d 5 6 x A n n 3 v k U R H k b X v + I 5 + w d 6 9 c c x w 8 N X V Z R C G J J G Y 9 / 9 j j M n b n r a L G L G f W b a C 7 x 0 b G R 9 z W w t C F m R h E 7 I 6 U J P W J Y y d c + w G F U n E Y s m 5 / / C d f E 0 R Y t 7 t 3 3 r V b Y q T N z L L U e N U 9 j L P z 8 9 Y S T U j R x n 1 w t m S w y p x S x z d E V G V B l 6 x L s 1 5 1 Z E k d R r 2 2 8 i K i n g 4 J A G k 0 C Y k Q M F a D c + f u P f f K P f z I W d U l L m b H J V w X D J P 9 U c O 9 L C h R 2 b G H Z L c 1 1 e n 9 f X j m d t S W V Z 9 z w 9 5 a l o T E M c P U w a C Y G c h 5 + + 4 N a + 9 I 2 M r K s k 1 N T 9 m K N M 3 U / I w k d o v d m 7 p j 4 w d G 3 C 6 4 t 3 T H r 7 1 1 + 5 q e h + 1 T M / z Z q b a U z U z N a I w i 1 t U / Y J F Y q + x F C S G h B i R r R 2 e H x q Q h + 6 f X t Q b C E S 0 P p A 4 8 n d K K 0 k R l 2 Y h V P a 9 D U K e r Z 0 g 2 F B 5 a s 7 H x I 3 b o 0 A m b n V N f i i k S 6 n e 0 F I y 0 n t n w c c n J 2 C 8 U 8 t b T 2 y 2 m a U g z Y A J s 6 X o 3 F v T u D v V 1 3 q X / 1 m Z G f S u h m 0 q 7 U B s e H r U x F w j d M l u i l p e w q 4 i 5 a x L O j E 1 J D N f b O 6 A 6 y Z Y C a o r e o A n e I Y T r U D o W g W F K P l 2 C z Z r L b l u n n r 8 t h k I p o O m 8 L h K e 1 a a e K z M j L 3 h d k f b O C H J i 3 g B V y 7 J H W 6 W 9 c A S t a j z w 0 G 6 X p c F a 0 5 Y X L W J H Y 9 q 0 q P + z J T G / h J c G S n 0 u e + u / / t u / d P H t 1 9 + S B A t b V 2 + 7 G 6 R 3 7 k y p k T V 7 + N S 4 I J s M 5 a V 1 N a x h 7 W K m o 4 e 6 r F 8 D f 3 B k Q t h T 9 0 g a N Q S P 8 O w w o Z l y j 0 / N O + / K 5 X d t R z C p I C z c 1 9 1 h L 7 3 4 Z 5 L + c 7 a 7 s y Z s m n b p h h v 1 9 r 1 J 6 + v s E w Y 2 S c + E j f U P i U Z q 3 m F 4 z b C v + s R k / Z 1 d 1 t s h w y 8 s i V Q P i b i n L W b M 1 4 h 4 Z F d U x e D i P 8 G N s D T N h g h 2 2 / o 1 u A s i 4 I b e V V d P x 8 T s I + P D 6 l z B F q n z r O y z d u H v Q d k r O D w 6 N a D p d I d L K Q z 6 L r 1 z V D Y K n s u t j X X r 0 4 A e G B v W o O 3 a t r R w R j Y c n q 2 C B q 1 S 3 t W g 9 9 u o p C m T l s x P T d 2 b 0 s C K c G R H Q l R 9 s t 2 6 Z d T 3 6 U j r Q J p X m y X L b 2 + K k L B X N c C 7 e Z t c v G O Z w p o t r q m N 7 S 3 C 6 M t W a Z F 0 V P v S 7 V F p j F Z p u A C 2 9 v b 0 2 Z X K a b u c e M G u V 4 / a p e 0 D N t y 4 J V g j Y g N S S 5 J v i b D R E G l p g K t X L z v 0 A v b l c n k J n b j b F 0 x U T 9 6 9 J V j T Z o V 8 Q c w h g Z U C W q l O F W m A U t b m Z i Y t J q G J z Q O E a T Y Q a K 1 i j G 5 p r L j a N + A a I C y o B d z i m j Y Z + b j F s X m w u R z 6 i d 6 6 1 Z d 4 1 D T A 0 m I I 4 W D + C 7 s K W I y d h M C m H 4 F 8 a B + E Q I s 4 K C P B i y D H c 8 z 5 S r U s L S I N J / O j I i R S F F O M i E k X F p d 8 3 H G C t Q v Z h F R f f B n x a K C x + K M q + I m p s V s X m B N D d u o Z 7 b G k L Y m Z u m T n x o S i y k W c X 6 t C U B 2 2 K z T F J H 4 h n 7 U u 2 a Q r q 1 u C i r I r Z b u F P / G R R y + q L b K F F u 3 4 o Q k R c U N S d c A G e w Q P y k u W k R F 6 5 u g Z m 5 C a f e a J Y 3 b 6 y J h 1 t q V t W X Y Q E 5 J b w p l E D t B B r a 3 q Y E k m o i E a S A A x F u 7 F q h q b 1 8 u R / t v 5 j B 0 / e s Q 2 Z O 8 g z Y t i u O W 1 T b t + 6 7 q k a N q S o p g e E T O e o p X V Z Z c o w D v s M / W D z u k + S a C S x G Z + K y N 1 L X U u S T I 6 0 C t I q I E S o 0 z J d s G j N z o 4 4 D A m L u 0 E P G i E p E X n l 8 U E q 9 Y v i b r b E O y T F G / V t U X 9 X h f k w F 2 9 n c u K U J q S u u 1 2 4 v B R 2 5 H q R 0 o O C R b g k Q S 7 t z Q j P r h I v p o q h E S E m P A 8 3 R P U i E l D R N T B t K N T W o A 5 l 7 L q P D Q w p I H I W 1 J G 9 9 E T p 2 x g u N + + / d K 3 7 d S p 4 3 7 t 6 N A B 2 b E i 1 n B c j K Y G S 3 i U J B K Z R 9 r Z k Y A p 7 M q G j V k 8 1 C b F E r W s C A c b I V G 8 a 2 v J Z 3 R D U N b r f X Y q u W Q t k r 6 P P v a o z c z M 2 O j Y m G v 2 i Q M H B V 0 z q n / D G c r n m / S 9 I S E G w 7 W r r q m u b h n j G x I 6 R d k a C W l i w X J J 6 h 4 J x r 7 e T t c K J T E G 0 x 1 E c V D H q L T / q p 7 b l u q 0 P / r 2 K 3 b 9 + k 1 7 5 p m n L S H G S o t W s G O 2 9 b 6 o a I W p C L z D T a G f h h o 6 P D j q d X I 3 u M Z w R w S M 0 y r Z 1 u k 0 B j x F u C I g c x J g F d m p / A 0 D I g A Y C + y r q M a S 8 U A A w p Q r g q 7 t G s f e Q S b v o 2 5 v I k z Q y S 1 6 D + 7 0 f r y 7 0 p o D f X 0 a d 9 l h 5 Z r a V r L x s V E J N 6 E A 9 S e C F B s 2 J F o q S 4 E g H P E U R v T M n b K g u y A n k S 7 h X / 2 l n 7 z I P E i 9 U r d D 4 w c F 7 a R + 1 W F R S c P Z u U V 7 + O Q Z e + j 4 A e t O h S z V K o N S 3 F w R L s C b 0 i p c i g R A G h T E K E g U x + X C x B i n e A c 7 0 i m H B r x j Z G R Y g z p s i z N z V t O I l H b y V h M D D / Q P C x a e k r 1 1 y w 5 P j K t i 6 m z B O 1 y j z D P h j Q r L m M J w j M f b 9 d 6 E H T 8 p p p R t B J E X x a z M h e Q y G d k s Q x Z X B 6 6 v r q h D x g S 1 N g T R e n 0 y s y y i I S p g d F h S V M w e l t a C i d 3 V I g Y q S g q e O n l C m j f i X r F d 5 l H U o R V J 1 3 p d G k 3 3 3 5 2 c d P s J J i 4 W t 8 U 4 U d G 8 8 L g G g n m z r e y W C C Y i m I V R X r a c m L 5 d t i B R A F u S + j u 6 l 2 g L p k O Z b 7 l x + 4 7 3 W V L S c k A w C 1 d u W b / j f g c o d Q p m p A V b E v E 2 6 5 W 2 T C f 1 X f X G G Z E Q 3 C z K h q o J k j L X t t L 2 H k N F p L l H a 9 c l g F b E C I J 2 0 u x I 9 p K Y c m V x V X 0 + 4 C 7 0 / v 4 + 2 Q 5 r r o H W 1 V f M 8 x E C t p n N 2 p k z Z z x s C t c 3 7 c x K 0 O D t Y + z p n / E D Y x p r J q J L I i q m D P C 4 h X T d l v p C B D k 6 Y G k J W z X K p m b m B R 1 F J 2 L C p K B z S M z F 2 E M r C D 3 m M J m c R q j M S 7 j j F I O p k J 5 1 t 9 l k N + s z L 5 i I w 4 W p h g 3 1 d c k n w V s l 2 K S f R N A F U E q i z T 2 H u O V B G n g m x 4 R K m F 9 E s C I N c J 0 T p Y P A 9 2 g J P V u V c Z s q L m H X 1 i a 0 J l s c o Y / T h D F P p S S E Z X M i 4 H H c V P S u H g m b 5 c 0 d C V 1 p V 0 m I 8 D P P P 3 Y x 6 Q N U t k t X b + q F k p 4 y 8 n K F r E 2 M H 7 e e z q S t L d 9 z K Z / Z 2 F Q H l 9 2 m I S I C z w 5 R B X B u v y o e j a L a s b a Y D g 2 5 F w p / P j g X Z m t X h R L S Q I Q e r U r K b G z l b V c S 8 4 k L j 9 q u n t s v L U g D 0 U b b w u J o A i a W k Y S 4 c Z n / y I u I 1 w S 9 B q V q I Z u Z 2 V l n 2 K S k J I y B g U o U x L q Y j c H f E L 5 n o K L S G E A K X M b u P p 6 Y E I G 2 2 9 r q o q R v Q p / r s m E 6 n E j K k s p E E K x J k z H x y X O 4 K y x Y V J S h L 3 t W n S / c n V l z x w Z O F T y d z H d M i u F G R k f E / B u 6 S D a n J C C S n z r y H I 8 B 1 H W b W 5 u C h 7 0 2 P T s t m 6 V i Y y N D k r Q J d 6 n v a l C L s h 8 m V E c m 0 I E o e Q m E c w + d t b z a I 9 N W t i c Q u 0 2 S v V 8 1 U 3 / J D s y 1 P W L N 7 L Q 1 t x c t 2 c z Z e H L T h o b H p T k i k s 4 x Z 3 j m c 7 C F y x I S + 3 Y O m i M p A s K 1 E N H 4 4 D i J C f J f e u c d m Q E D H n 3 S Q Q y k C A s 2 T 6 W 6 H O Y t S j j l t g u u G Y i C w N 1 O + 2 j r U H + 3 d a u d O I 7 w B o Y F o W C o L k F 3 J t N 5 F w w Q k f Z q k c 1 6 + N g x w d 9 u J 1 a Y i f Y i h I V 5 V L e k d c s U I c w L 4 o e 5 M I V w N i B 4 E t K w 4 l A 3 B f C U J i R w C V v C q Y U W w x W P 5 i X 8 i 2 d D t z B U a R e H S O A Z F N f 7 8 9 U 8 X S M b s T U p I Z J w 7 7 L P t e k 5 H j U j A c D 5 o v g D m w x 0 k + 4 I 2 d L 6 j j V E u + G / + s t f u j g l o s T m a R G H x c T p V K C A l B Q 3 w g i 4 B H e K s j d k C x B F k R R X d u 5 J i R F p B N Q v 8 y M R M R R G M d 4 a O B 0 8 R M N 6 U a V 4 D f V 3 S g 3 B C D 4 w O m r D A w P C 0 X i R N l R J 2 T 1 I Q D U 8 L I w a p X L q T h i K Q V K 1 X B I z l 1 U o 7 N j c 3 K r 1 y a B f W 9 + Q I d t j M 1 L t d A 6 G J B I P 7 1 J O 0 g w 4 Q y c w A h A 2 p Y Q X U 8 / s k h Y J q V 4 4 X b b F t I 8 + / r h 7 8 9 o k 4 R A O u O E Z M E J / 1 i U 0 V j e z V i 0 V r F n J C 8 K k / H n E g V X U J 1 3 S N n N z s y K 0 u E u 4 V j E f E 8 D Y F T 2 y c Z C M z K 2 o W d 6 n O A E S g i r r G 2 u u K Q 5 N H J D 0 2 7 V r N 6 6 7 b Z E V Q T X B V a g C f S b i U f W d n i u B U R V 0 F K x 3 I U P U g h 7 l L u X O w q v W U 7 l q A / X b F s 1 e t h U J l e O n j 0 s 4 l m T K J K x b z L G w u K B 6 F U W g s u M E U Y G m T X f n 4 t q O u p O E e a 6 Y C P 3 c u Y e l L e Z l m C + J K Z h k l a 0 j W + G V V 9 + 0 p c V l G x L i m J y c t Y O H D s o E W F J b 1 S 4 f Z 2 l r E W B S q A E n 1 d a 2 o L g E M p 7 f 1 T X Z o d K O I 7 I z i T 4 h j j O k Y 0 t j x Z z X 4 c N H n J g J p K U f s 6 I f B G p R 1 x K m F j g 0 s o 4 C + k V 7 O 6 J T I B 1 2 U k X j S K A t B S b A A 0 0 w L u 5 + g l p x L h D 0 4 d 5 O r p c A Y D y g k e 1 c T u M j J t M 9 C F 4 8 f w l p 6 o Z o M J v d V v 9 J 0 O v 5 w N p 8 b t v n n j r E A y F d T L B s D l h e V P 9 8 8 Y V n L h K 9 W 6 4 0 N A C L 0 k Q x m 1 1 d c s m x u L w h K d g h + L T p F f K A U i k f g i 1 x m z J P w B z F 5 u a q T z J G V C G 0 F 4 Q N w f T 3 D 7 m B H 2 o J i y j X p P n Q P h U 3 h g l r w j 4 i w i E j j R M R p N n e b Z F 9 Q 8 x a v 1 R o T p 1 E J L q I U o T E w O y I k R A h x 4 4 d s e y W J L I 6 d k B 2 U l 3 M u + P Y X K p a 8 I h I 8 k 5 B n G a z I i J F o s g 4 l j 3 T I g I E 6 8 b D U t u S f k z s t U u z M M v P Z C I u 2 K z w + s H R c Y 8 U 2 J D W g i k w / D G U o 6 p / V Z p j i O B M D f K O o C 5 G f 1 w 2 Y y S e 9 I l t b C V K T s 9 Z X J K t 1 j c o P N 9 h 7 b K j 0 L p M X g O T M M K Z R F 3 d W n X i Z k J 0 R Y y 7 i W t Y A w x R Y n s B n T s l 6 Q k X i o m 5 K j s V M b z G Q c I J K I d j p y K 4 g q h g H q 9 M f 0 l S + 0 S 6 6 k s o V r c M 8 p O n z 4 j A 0 C S t E k L r 7 u 3 U 8 O s 9 Y d c 0 x A n S T 9 N T 0 7 K R 8 N r K L h A E B n b F B b m B W T g 3 w B 6 D E p B 9 A z 2 C r y X B 5 3 5 J 6 Y i l q J P q x 7 j j Y s Y W Q S h u C G 4 x P 1 b Z b d q C 3 t P W l v L x R z g z F w U j 9 E g g J j V e a H A 0 z H a h a I e O H F V d 4 8 4 U / f 3 9 f i 2 u f o Q T X m S u G R k e s c 3 t v K 1 K q B J g G 1 X 9 N w T 7 e S a O o S W Z I 9 y H B k u 0 t b r g R J j j / Y P t 6 q I / x l 0 8 J Q Y q S W h J G K o d 2 x I 4 0 D s C r 6 Z + x i 7 G 3 m J 8 o W 8 i X 4 g V 3 R Q K S Q s W t s s M q Y e L N r s m o f T C 5 5 6 7 2 C c G a W 2 L W 2 Z l 0 7 1 R q 9 l N S 4 a S d m d 1 2 Q 7 1 j V h b W u p 9 c c 7 6 O + N u 7 O H d y I m g O 9 L t I j w x k i R T u i P l U I k J U Q I 7 2 5 I d T g x E K x D L h 7 E f a h A K V H U C Z o 5 h S / C F A b s 9 t W i T 6 x X 7 8 1 c u 2 9 x q 1 t 6 + e s t O H D 8 q 6 C D I J G I s M z 2 t H g j s K v B s 1 d 3 I w L l j R 0 / a 3 d v 3 Z E S n J T 1 i E g J L D h f S I k a k 7 0 5 B D C y m x 3 j E U d E i o o N Z a o J s 2 I B j g l W 5 z J b F 1 O k 8 N y 9 J u L q w 4 B C J U C c I W 7 r d P V 7 9 v b h i t w R 5 0 t K c F Q 2 D t L G I G s / o / E p G 0 v W Q E x V a v E V t J G S G G D O 0 N P C F y V k m r Z G o V c H a r q 5 e u z F 9 x 8 Z F 8 C O j E 3 b 5 y h W f 0 B Q 3 i B D E x N L 2 T R G i G i 3 o L b g r u L m j e s N A S Q k 0 N O S b 1 S f s d s v j t m A P 2 W r 0 E c u 2 P 2 Z 9 O 2 + J O G J u F 7 a r r n d u 3 7 Y 3 3 n r N b t y 6 6 g b + q T N n b X T 8 g K R 5 0 z 2 Q E + M T F t G 7 c A Y N D w 6 7 N l w X 0 9 F 2 B B D a o V f a D D c / c Y s V C R g E C Z 5 V o l h w 2 S M o N m Q S w L R A u v Z U p x W k c U L S 0 M l U h 9 p T t h O n T t n w 8 K B r M 2 g D S I 8 N h 6 N n b X 3 F x x a n A p P J M 7 K z 3 7 l 8 2 e f I I H n X n m K g u / e m n N B j 0 j J o u G 2 9 o 1 O 2 5 Y U L T 7 i Q w 9 5 k j g o 4 j Z Z b W V t 1 o Q 3 t 7 O L Y E t 3 h j c Z x A U R L q B 9 L 6 t e a x h P b H C 8 z q E K 4 w G 0 2 Y G l R C i G G X V 0 t y g 4 v a f w 7 b W h o x L Z y m 7 I T R 1 1 Q Y i f O r V f F U J 9 5 5 m K j K d i y s 2 s 1 G a w Y 6 n U Z 4 m k x 1 t 0 Z D d P R U X v j 0 l X r T E b s 9 O n T Y g C 8 K 1 V J G i K H 2 9 2 u 4 u W s v S l J 4 m + u E Z s l F S 6 m D K s i q N 6 a G o L a T k m j e f e o k 5 a X F v 3 + Y k U S w z r s W 5 d m T W D S t u u C e T q O y Z b Z 2 p h D j r h a T e p e X L s Y z t h n C y v Y P u o o N R i 3 N u E t M O 6 a p D x R y k S e e z y d J C U x b G 2 y 3 9 C i E 9 I + r 7 / 2 m q t 1 b C b s M l z A b e 1 p j 4 f D G M f 1 T x Q H B n A E r S o C I r Q G 7 Y g d k B C G B p 5 B 4 H q M H T 9 x S t B D g k P X Y 6 d A P B B e 4 O a t i T m R f D F J u K I L E y A H j p a a 4 M t S Z t X n 4 u b m Z v y + X h E Y 1 x O 4 i V + z N R l T G x j Y h q 1 v r U v T i l x x j + k m 3 L f 3 7 L z t h G R 7 t A j f W 1 y 9 F b W H 2 m X z S l j g R M F Z w J y N T / 7 q i L V L W + v + N S I m 1 F + 0 B Y / p l q Q 2 X k 7 m p S Z F t N S T N q J N 0 H b z 8 / P S S i M i z I S 6 I e y w j P a N j 4 1 7 n + E A Q G s g C N p 1 D 0 G 5 w D h i P I H b E G a X + n t m e s r t G T Q Y K C W n e 4 s S V j u i D y J M F p d W 1 N f Z A O p i Y 4 m 5 s S k b 9 R Y 7 f v y E D f j 6 M s K L R G N i Z n 7 f l r B C e 6 D d i P P D I Z G X 5 i I y n i U i M A Z 1 S P V 2 q F 1 x X 3 7 B i o Z a k z h T a S f B 2 S T z L e o v 2 o w 2 w n S B S Y j c I O J D D b T G b l l 9 V X C 6 i z F 1 o / H s 7 e m V A N + U H V y X m S T G / / Q n z l 9 0 D 5 Q I l T i w j V z G H 1 6 Q d s D 9 u S H C r b Z E b W y w y 1 Y 0 C H R i W N o G j A n R M E c Q O B z a 3 B N F W A + u 7 H Q y 5 R y P k 4 E K l a o l 4 d a 6 X X j i e Z u d X 7 K R A 4 e F 1 X f t 9 t y m v X h j x a w s Y t R A R Q m T U U N X p Q G f f e S U x e r q K E m 9 3 R o z 6 d I W 0 J K k G F E d u 6 p D W R B s S V D i y K E j t q r P D g 1 W P V K z e Q k D 1 r W k 0 3 E Z 7 A W X c E C Y Y i 4 I u B w c G 3 P C F h R 2 k J L b l u Y Q P I 2 r s y 4 8 f k H P l u 2 G w 0 G a D Y c D U g 3 J 2 9 3 T 7 1 4 q F h 7 C d E C o 6 b l F h 4 t I X 1 z C w F p s L 5 i L g c a I Z n I Y Y 3 1 A d i M R 9 x 1 i 5 N e v v 2 u b q h N h P U U J s b q Y p K r B Z 3 6 L W X y I s S m t y U x 9 T H 2 d F P R D m l O n i D R Q T g Q 8 V 3 / I m p G k 2 D o o O F 1 a 1 / 9 c f d 8 u o g l s E K Y 3 4 q 0 x Q S L G o i y 4 t W F T M z M e r A y i C A t h l E U 8 b 7 z 7 j s Y k Z w e P H H I I G m g S J l R 7 B b W E Y i T Q F m V T Y Y P 1 9 / W K 8 D f g L b 1 x V 0 Q t G 6 i 4 L S 0 P L C r 5 s p Y d S W 6 8 Z 7 S P U C Y Y m N 5 G 2 2 N j h d V G X N m E M w F j B w T t s E F T 7 T i T R K S 7 F T s w P m 5 z Y u b x 0 Q O y K U W w 6 o c T D 5 0 S Y i J G s C a m 2 v S I D J x k O C U G p M W Y G m j o 2 Y S m M Q b Y W z t l M Z 3 6 E 1 c 6 D M F 3 I t 6 p E 7 A 5 o p 6 D S V i 8 i p 2 2 K 7 q A e a i 7 R / R L Y N Q Z J w l R B E a 3 a A U b S n w q t L Y l X h B 6 C g v 2 f u F z z 1 / M i c j w p u A O H R 5 E C o F R y 8 K I R c v k K v b I Y 4 9 a Z 3 u r C L B V O H 9 N j M w a m b h 7 e o A W u E u B A C 3 q X e y Z N C t S p T p x D 2 P I 6 W 2 C E 1 0 2 f G D c + k c O W f / Q A Q 3 W l p 1 / / F m f c H v h s y / Y O + + 8 4 y 5 z 4 I W U l g T x r p 0 5 M m L 1 U t 5 6 h 8 b d Q 8 P Q A d 8 I 5 U 9 K 7 Q N B I F g 0 1 m N P n H e X N W t j i o I 1 2 A N 1 d V 6 h R N 2 i w t A p d 2 + H 1 H l 9 h J I I A 2 M T 0 M F A M Y I f M 4 I 5 N U G u W z e u i y m w l b o t J A F S F f R h z d G C b K K p 6 X l 1 e t 1 X k 0 r 5 2 J k z D 2 t w V 6 m C S 1 o g F J P B r a 4 9 I y 7 p 0 c o I I r T 1 3 P y c a 8 r z j z 9 u L 1 5 5 2 4 o S M g 5 H 1 N 6 i i D 2 u 6 x 9 5 6 J z X D 4 J / 6 s J T 1 h 5 J + E A j 8 S v S k L w j u 7 W t / m 3 Y Y m n M w s l e e M k L D D X c E G N I Q s N 0 w J 1 7 0 g o 1 a T M Q Q U w a t 1 N 9 i G 1 L f y L 8 F p Y X L E N E i O q Q E 8 H g J A G p J D T e x O l h 4 6 q D r F z M 6 / n S g e o z p D O O J B x F w H a 8 Y f Q j A p Y 4 S e r L s g q I D i j p m l o C F u E N / E Z D s y w D w V H V M + g D k A h O H s K R W C x K 0 M D G 2 o r 6 j q D Z u g u b 9 h R e Q 0 E 9 M Y 1 7 6 8 R g + Q J O i p g j F D y t u P f z o g H W i v V 0 d U t R 1 B x y I / S 3 9 B u T u L j b c V r h o U Q j p d R O n k X 4 H F 5 F a N x X W 6 j e O G 1 w x j A F V G G 6 S N e m B d u Z W 5 2 a n n V B T N h T P d p h 4 Z / 9 q R + / K L R i 2 2 K q u h 4 Y 1 e A B s 8 r l h i 1 v b N v M Z s W O H h j S C 6 W V p K I h Q F Q 7 6 2 D 6 e / F e i d P V C c C x R E K G Z S u r b 3 c k A U S s I g 4 M x R 1 p J x h v W x V 4 V 4 y T E Z R T v 9 j 6 0 o w T 8 P / 4 r 7 5 q X c L o o j l b W s 9 I 3 q k e k n z P P X L C Y g I y D E B W k o h B R e I g C Z l 1 d 4 9 j s t V h H O 7 z f q n f h O q X 7 k h a n y Q q 0 R L Z v D p V U C W 3 X f S 5 K M f X k o g u I U U e v T L A o y I M 8 H e b 7 K i c 3 t M u Y d D e i W t W Q k I d e U / a b g l B I j n G k v 6 h o T 4 N T r t 9 / k d + T s w W t V d e e 9 U + + r F P u r B J p 7 o F G X t t f O K 4 i L Z H N t 4 p O 3 r 0 h J h 4 S H U o 2 b F j p 2 U X R C 3 V 0 a 8 + E h P u 5 O h t a 2 r g T o y M 2 7 N n z t u o D F 2 8 b b e m 7 + m d T R n d a 7 a 4 s S Z 4 u O H t S g k J A K N x b i y H T k t y a j D L 0 g Y 6 a u W i r X d + 2 t b b n r H + y n f V j 2 K g T m l z v W V p Q 3 a K J C q O i 7 D + N U S Q h B v h T W M C O M b f Y o i R g T E J h V 6 H R 0 B n v L S B 1 j W f o 0 J 6 E / m N A M V z h z e Y 3 7 A V o Q O C W 9 E Y a G 2 W c z D n h 2 B x u 1 M 0 x j o 0 0 A G C F p s J G w n i h 0 m A 1 y y h S E l D L q 4 u e X g S W j C j u q M Z Y e Q 1 2 U W M H 1 q U J S 1 F 0 Q H Q j G g f n s d 8 J W Y F 8 3 n Q Z 4 u E / K F D B z 2 i p a F + g P l h Y p b I E J B A X X g e T t V u o Z F N a R y W D z V U V 1 Z l E 7 W P M y g t L c t U A 4 I T 5 k M r g 3 Z Y P h P S 8 9 o 6 h i 3 8 E 1 / 6 S x c x / k + c P G O n T p 2 z n s E + 2 5 i e s W K k 1 f 7 9 n 7 9 t a / m S H R 3 u U o e X r S D u Z k Y Z w j t 5 4 o R X A B U P h x N m s r q y b j u V n F 7 c 6 V 4 c 4 q T A 1 k u S 7 F 2 d a Z u Z v C 2 1 2 m L t 6 v S w K o D X b E Y Q 4 g + u r Q p O b t i y 1 L y U k 7 u L W d L w 6 C E N 5 P a W S w K c B E g 8 b K Y D B w 8 5 j E R C s S p 2 c m p S B q Y M 7 M 1 N D Z 4 G T X q Y + K q 4 O j n V 2 y O C X H d 4 w B z H o J g u H B c E E F Q k u B H 3 J 1 H k D D 4 Q D q F R q 1 c k 5 b b t 3 t y K G E Y S V 0 Y 1 R i z Q t r u n 0 4 X D 4 v K y f e R j n / O I k b O P X B C U G 7 K r V 2 7 Y L / z C r 9 q 3 v v 2 K H T 5 2 Q s / s t F d f e V X 2 S 0 S 2 w Y I N y 4 C d O H z C 1 j J 5 O 3 H i r O B p h 1 1 + 6 3 U 7 d / y 4 h S s 1 G 5 P m 7 G X F q P o t o 7 7 G q E + I Q G B e X L 8 Q 5 Y g g 4 y H Z L e M j o 1 Y R F L 5 X k C D C 7 S 2 i 4 Y j 3 T K C o v P T t v G x x a c m o B r + v q 1 + 0 L G N b k h y i x t e R 3 c m 7 v Z F r O W r z / X / V M u n n b T 3 1 n N 1 r n r b I 7 B + p L x s a w 4 J H o 7 M 8 p k W E F x Y z Y 8 w z X 0 X Y F N q 3 s 7 t H B L k b h B 0 J 1 u L s w T v H G P V I 6 E L k n A N R s M q Y q A w c M 2 h y V h W w j B 6 v Y 0 T P 7 + r r 9 4 W F 8 7 K x N 3 N M 3 I o h R D N 1 j Y m k i A 0 O B N q Y u c 8 x 2 d k g B z x v 7 j 2 V S c C S E k w D 5 p a w y w J v K V M 8 u h + t G Q 1 W J u M 8 w o u I 2 x 5 v M 8 u F o G v m M f F I 4 6 J n d o p 4 V Y k e M W + X Q 0 l R p j N s I p 6 U Y M h L I G E P t 8 l O l W B o S V r 4 p 3 / m S x f H B M X q j Z C 9 8 + b L 4 v 7 l w N W Z 6 r M 3 b y 6 L g J u S m g c t 2 l K z 9 d V l d U I w g T q o g c V B A U M N D g 3 a P R m y S B x C O g g i x R M T T C T 2 q m N l U K 8 v O 6 w E c 0 q 2 e e N 6 e 5 O W r Y T t 5 q 1 5 q 4 Q 0 2 D o N k + p D k q F h p w 4 O C s j m b E u 2 D A 4 G Y q z w M K y v w d h R 1 W F E U i l k S U n g v F Q 6 I S X t k i Z z s 2 B / g i p r l u 4 k L K Q g i D Z k Y 6 O 6 X s / e V p 0 x j G s a 4 H J x S 1 K v E G g v 2 W 3 Y Q S v L i 7 7 Q b Y d n S O 2 z 1 I K Q F y R d M Q f s k j S T 7 g D G / e m f / L F 1 d 7 X r n Z N i 4 r J d v 3 b Z B k Q U q X S r N F W b d X S l L J P N i F F z Y q g h S d 1 V m x V z X b p 6 2 T 7 1 8 e f s 5 u V 3 7 a N P P m l t E k i t M r D z E k R r 0 k R z Y t g q U F o 1 3 h B h l a V B G m o 7 s / 1 Z S d B W C R g E x q 3 N d k F k n R e R J A a O Q W v 3 S 3 / x u 2 7 3 M G d W F v O R o A b Y h G s b s d 8 7 0 O d 9 P l V 5 z i I a 7 6 D n g / J 3 f + F 5 e / T s Q 6 4 p 1 z e y 9 u T T z 0 v L m c M q P I D 9 g s N j I 8 O W l j Z n l f B g f 5 8 I L e f O A u I a C c s B 9 h J 9 g v 2 6 v L I q 2 N 3 m r m w 0 A h 4 4 E M B + x D r M t y W C z Y q A b 9 y + 7 d C z L C Y A P T A Z y 2 p t o D Z I A r M C O 4 f 5 x V Y h F M 5 V p Q V h J u A g f Y F 9 j W c O + x F 6 Z d x x p N F e V q B T m A q B + R q C d 8 C 4 u u x 3 p i K g T e b Q E G i + 8 F G C G 0 G A w 8 W 1 u W g O B U J S G u Z c G Q u g K / O 3 4 f / 0 r / 3 K x R V J A 4 y z m Z l b j l + j y a h d u 7 1 s M 0 v r q k j D H j 4 5 b i N 9 a a n d D d d M G H m 4 w 5 H m w y O D 7 i X L q N M x A l k L R c D j Q E + f r b G e R 9 L m 9 u 2 b H g U x M C i V q C f W N J g s 2 4 g g I W o F u 7 m y a Y V q U / e q 8 9 T J 1 p T q V i M T G p y R 4 T F b F U E m B f t Q 1 z A n 3 i q M Z d S / O M r S b X H r k R T i + / T 8 o i S Q t G i y z S Y O j c m I 3 L G + 7 k 6 H c i x n q I n o V 2 W U U w q b W R s X n C 1 K I z D P V Z K W w M P G n M q u O v P R 8 4 8 J M h T t 1 I n D b p B i i L I A 7 Z F z j 6 g f D t r k 3 U l J s 1 n r F t N u Z X C 1 E 6 m c k / Y Y l F G 9 Y n / 0 p 1 + z d 6 6 9 b S u b i 2 p L i 6 3 q 3 F Z h w 1 6 7 9 F 1 p o F V 7 / d V v 2 b O P P 2 q 3 r 1 y 3 v G y i q l B A R l o 6 K c n f E O b V c D n U K q t L C i I u 5 k e w e T S + G n g S m R T t o f 5 t G 4 z c t r R t 2 H r 8 r L d r v 4 x W X 3 O J S 3 + p o w W 9 8 T K K R U W Y P T 0 s h t y w G 6 X P O m E H D P V e e S Q 5 Y / / s n / 0 z m z h 4 0 N e H T c / O e H / X 6 j u 2 t L J o N 2 5 c s y M T B 6 y h + j E 9 E B P z z I l e i F / s Z i J V s L Z D 9 k g q F c z d Y b c m U m k 7 d + a s j b i r u e D L M X B U 0 S A C A T p l Z 8 9 I k G S 2 N l z D E e 4 E K s C W P H T w S B C 5 r + v x 9 K K N m G x d W F m y k O g N + E k Q A M 4 T a A M b m 2 k F l n o Q Q 4 m b H k S E M A m 5 x h N T 6 X 6 0 v k j N b b w a k 7 V i 9 I q g K b Y n k S F l M d F I / 4 B 7 Q 7 H F c Q r V Z b u S I w V P p t v f u i 7 Z r u t V t / B z T 5 y 9 i F a q i 5 H 6 + r r c K G T m + J V 3 7 9 p G Q b B K k v i E N E W j k v e J U G L W e r r 2 s t S o 4 s w a r 6 8 T 6 R C z 2 c V F j 3 x 2 g 1 U d g b e Q d U f A l 7 Z k p + D R i o 0 K r r E A b L C / 3 z p b 4 9 7 4 9 r 4 R m 5 q c V 4 M i G k q J E B E 3 6 / X n 1 z f t 0 u 0 Z S f x u Q R Y N U L x D f S D L R + o a N c 2 C u b i e U Z c B m 5 V 0 2 5 F t M K x r M Y Q Z C C L W i e B Y l k Y A 6 2 Y y W 6 p 3 2 d 2 w T U F C D H w k H + 5 c F k S y h q h Q L K s f e h y P n 3 r o I X W a p J 2 Y C x s y F g v Z 6 M S Y r W e W 7 d L l K 5 4 v A 0 0 H I 7 L 0 R U r A t e K E r r k 6 f d u W t t Y d c m U E W R f X 1 m 1 h K 2 P T y w s e A D y k O p 4 6 O G 7 L c w t i 5 r C g Z d O D i q M i I l z z m 3 n Z R Y K K p X r J c y C g W X B v h G o i i m p Y 6 E C a S p J 5 V e / I y i h v j 5 r N 5 L q s r T L v q b F a i o s 2 G l 3 Q f X V p A W n / e k Q a m f V N L H s Q c u j s t H s r C S u 0 B G v B P s h Q K + / + 3 1 W X h l 2 5 + p a 9 / e 4 r d v P O J V t Y n L S 5 m S k r Z i T g x K h T Y r J 5 M c C 9 m T k 7 c O S o j R 0 8 b F e u X f H n s a 4 N W w s n B D y z L V v 2 X W l v 3 O R M + + M A m 1 9 c c A 8 j j g K Y C T R w 4 9 5 t 2 T 5 M 5 k s Q i N K x V R 4 6 c d q d H Y w h U z b F i m h U G o Q w t J q E g 2 t E M S 8 u f 5 w k R M u g x d D O T F B n i a + M S g l I K K K 9 2 k T 8 + / Q r r p L m a x E K C e J U W W R I I A G u + F 0 x X a V U E z 8 E y 0 L w 9 l I f 4 v r w I c B E n R L W 2 H 6 E 1 M X 0 j v A X P / P M R a Q p x v 3 0 9 J R 7 g l b X t + z K 3 Q X L Y 4 5 I T p 4 8 N O z R B S w 5 g F F Y R V o U F 7 / y 6 q s e t + a e v X T K t Q 4 u V k L / S 4 J p e P u W p e J Z D s 9 K 0 1 p D W L c t 7 U G s a a n j z c 2 y Y E i / d S d F X K f O 2 j u X b l i 4 I c K R B A Y + u S g O x 9 w d / p i I G x t n R 7 g f K Y K a R 6 p s s w 5 J + B 3 7 o F W d W m Q S V e 9 m D o k w F 2 b Z y Q / I e h s M 0 V 4 J A 4 z y E U l M X 8 i o w U N a Y l T X 1 c k A o j g h W G L u u 3 c m B f t k T 0 m 7 M a W w K e E x M 7 M o e L f o u L 1 V W p D J Z N y 1 B H s C N z o E 8 7 D j M i I Y c D m h Q i 3 q M 7 x Q D G K H b J C n z z 5 i S U n V t b U V E Y o g i y A k b t 5 R 2 U a E c + F x B O 4 Q J x P H h a z 3 8 x 5 G I 7 9 Z t F / / y 7 8 p e 7 Z q 8 3 P r d v a x x y 0 e T d n Y 0 G E 7 1 7 d u v c 0 5 O z + 0 a 8 c 7 8 o L n / X b 4 0 H E b H p q w x y 8 8 o / G d c 6 H S I q L C M 3 u l c M E F E w z Q J A i 0 L P t j 7 x g I 3 7 L F x V n 1 v / p F O J y o C D x l O + q v Q 0 O j 9 h N n n 7 a 7 G 4 u 2 I f t z b T M j z Y X 7 p G 5 X b 9 1 Q / Y N A 4 j 7 B 5 8 v X 7 q j e e I 0 l I M R K u e 2 s r W 4 Q y i U t J O 2 f 0 b 0 R 0 c J 6 Z t 1 u 3 7 2 t f p C 2 U F 8 T i c M U y J P n n / C I i L B Q C 7 Z w T d q E C V 0 0 V I p 1 e O o f d 0 q o / + P q Y x w H e G u T E h z u L p e N h a M D h i F q J i V a w z N D N I n g k D t I s M 2 h p 5 j G i v k 6 7 C e y R e 2 H L 7 F 2 i 0 g R Y C G r h b H B 0 I b k O s S 1 T + Y n b L h d H F 0 P n x q 9 m B R k Q j H w Q j A t I U e T C 7 I t J A 0 x a j 7 6 x B m L q 7 u S k t B 6 t y 2 r w s S 2 M e n X I w Z i w S A d D 6 5 l o R f u x i 7 Z D q T E m p t b 8 n U r h P 4 T 6 5 W R n d L b H R i J M 6 t L k i 4 V O 3 j 4 t I h 2 2 X 7 k m Y / b U 8 8 8 b i 8 8 / 6 y d E l w 7 M j Q k Q n j S r l y 5 p Q 7 f l M H a Z n 3 p d n c 7 0 w A g Y J v q T k c 0 p Y 6 3 d x o 2 L o h C p h v e z d J 9 M D i h O 3 i R m A v p 6 + 0 R B O y 2 z f W M c F P D i K 9 j S T 4 u 5 E 5 p K + a k F u d m R c A y w K M J n / t g 7 R Q G 7 u z 8 g p i m q n e 3 W r q H y d Q W G 3 D n A E s o y g 5 R 2 q X J y K p 0 5 c 5 N u t Q G u 3 t V B 5 Y + N O 2 I 6 n Z 4 d M x C b t 9 V r F t 1 I V i 0 X 8 z O S t S d Q k n 2 6 6 r a R K R E S f C m 6 k 4 B p D W u a p Z t h 5 u q 7 9 y K v f D Z L 6 r f i 7 q W t F 0 N E U J c 8 K b X N l c z 6 t 9 B G x L R n z 5 1 x m 5 c v 2 V D g t q 3 Z Z e Q Q K c o Q 7 p b N u e 3 l 0 5 J g 0 j n i W j C 8 X Z n V v p D 3 G A n 2 2 9 b e y j v q c g m D h z w Q O T Z 2 T l 3 z J R a d h 1 + M k c z X d y w p N q K E 2 k t s 2 Z 3 7 t 1 S f 4 p Q x V y b 6 2 t 2 e + q u P f e J T 9 j 5 R 5 6 y 5 5 7 7 i I 6 P y p 7 c t l w x 4 1 5 A 4 F c K + 1 d 1 g j D x 5 i J 0 E k I d O K G e v P C 4 h y U B 1 w h c X V i Q k N d 7 0 S B o b F z f I A k i X J h m S I q h y K f B G r x W o S O C W K k z n m Y W L Y K i 0 H I I Y t b a M e 0 D r G N 6 B 3 o K S c N I / D n s B z m 5 s N H Y g z p Y x b w h J D Y 0 M u Y O L c a n S 9 p p n b A 5 0 R 9 h T T i O w h 9 5 + u x F i A p X N + q U u D t y q t 2 c X r V i X c Q k Y n j i 3 C n r T I h 4 J O l Z J k z C k A X Z X X 2 S / u B G Y s 9 w Z e P h q e 9 K T Q u j Q q A k 2 S C p C S F H F W k W G A s X 6 r R g T l 9 3 n 2 B g W n 0 v T V T Z s q b w 0 n / / u 3 9 k r 9 6 4 K o Z e s + t 3 p 3 1 u g o D d a 5 P T n h l 1 T h L 2 8 O H j 3 l m o Z j o F p p m c W b W F 9 W 1 7 9 d a y f e e d G 3 b u 5 D F P O E J c H N 4 e Q p H W J V l Y v o A N t y M N C h P S A U S R 5 y Q 9 O 1 O C P 4 I G L b K / m O u 6 p 3 d t Y V C L 4 D B w W d P F p G + X N F y H i A g 4 k y 3 s 2 v L q h g 3 3 d 7 l Q A W a m k z L S h b N v T N 3 z S d y C N M K h Q 4 d 9 o n u 4 b 0 D S c 0 3 E J O 3 R 2 2 3 t b e 2 C y x k R i S C r C I X 0 a C 3 S H M N D A y 5 x S T w i + e X E h S s / J Q J h s h x 7 8 K 0 3 X r f N 7 I o t L E 9 q L O 7 Z 9 O Q d 2 8 6 u 2 a E D I 7 a k s V l e m 5 U 2 v S 1 N n b H F p W l J O y L B t 2 x A d Q U B v L 3 M q t q Q h C A a F O 0 n 0 a + j P Z S z R 7 p m 1 H 9 A X R G t m D w j T Z 9 U X U c G R 1 x Q V i X V Z 2 p i A h E n 8 Z U k x Y G 4 M O 5 / / i s / a + s r a + p H i S Y J 4 J n l O T t y / K i 9 / t b r 9 u I r 3 7 Z 5 I l x S U S d K o S f R z 6 4 L 2 i T t k 1 b h H c P 9 o z Y q g Y D 9 U x D a y O a 3 b G 5 + x r 2 x 0 A 9 Q K y o a 8 K k P K Q B W I 2 N n 4 d i B G X 1 t X l u r G C f I X V E V 0 / A 3 t A y N e 2 J V M U R T D A P j Y E c h t H g 2 J g 3 R M 2 X B b u L 6 M H / Q U r j R y W + B T Q o t 4 H n E h 8 A 1 / E 4 0 B g o m / K U f / f R F w l o 8 W t c l p 7 g 9 m r T L t + d s V 2 q W C b b j B 0 e s P S J 8 K Y L M S W L m J S 2 w X 5 h U R a L g K Q F n I h E i g k o e 4 6 d O y G 9 L j Q r i k J y Q J c U t g n O t u g 8 o x 7 t I m p G M y x Y K 1 a 3 r 6 J g d 6 + q x M 4 8 + Z V / 9 9 s u 2 k i + J W J b t 6 t 0 p w Y A Y 6 E f W X I v s t B V 7 6 / I N G x Q 8 m l o T B F v d t s 0 K 9 l b O c u W a 1 W U M H x 3 s 8 J W 8 2 A / M m 2 H 4 4 h H a E m P x T A x K p N z c 4 r x P Y q K h m V t D k C D N C O v v k O Q c E G Q d G h q 2 w + N j a p d G X y X Z 0 a X f G 7 a a y d u S b L y E C C 2 X l a R m k l v M j 6 Q j 0 S b L 1 Z O 4 U i V g R g Z G f X 6 m K k h I s p T g P Y F n C 3 t i U / B w S c 9 o F z H A U L u S v P Q P O T C + H f 1 P b D H 8 p C 2 E n r D F 6 F N 2 O P K u L 2 X o 7 x X s 3 t m y e r Q q D Z y Q M d 5 p b Q n W G F U t l R L c i T a d g H Z K B d s u 5 V T P u J h / w b r 7 g o D b 6 2 s 9 A U O h n U T 8 + 8 e z n d + R J q z Y j 3 3 + p 8 V U q o 8 I Z 3 z w o P 3 S z / 2 6 D Q 0 f t q b 6 + r M f e c E + + f g n r C P R Z a e O n r G x g c O e 7 2 K 0 7 5 C Y v l e 2 1 H E 7 d P i I 3 Z m 5 a / V w z W 7 f u a G 6 Z q 2 o e k Q i a r E I E 9 j O + B + a O G Q j Q y N 2 7 M g x G x 8 d l / Z U 3 8 n O I p N W S v 2 P T X T l y h U J N u w x Q r o k 5 N 0 N H 6 w i Q A z A E K w W Y O E r r m 8 E G 0 H K / A a T M y H e I + G P t s l I y M M U M B C a y r W W r g R C Y h u h 8 R h L o U F p z m 1 3 P O B B b N f 7 0 M p 4 t o k J x c x x T S k 0 h k 3 G M 8 l j G P 7 C p 5 + 4 m E x h x A f L m q O y g 4 h F v T m 1 o s + 6 J H q L P X r 6 o N W 2 l 9 Q B U q O t K V / Y R 2 e A N a k w 7 k o a Q R o t J B m e Q j p i a x u Y J / g i d U y u 6 I E e 1 r S g s k O C E e P C v E S w h 6 0 7 m r a 3 r s 1 Z U w N 5 e X H N j g x 0 e m a h m u w i X 1 m p x o J I K o J 1 x W p D j B W y u 7 J l J t e K t p i t 2 H o u Y G w G q t 4 S s W f O H b P C x p K k Z p d H z x P e 0 i m t g p H a 5 o 4 S Q T n 9 C 5 Y j S C N L i L g 2 k a b Y U a c U J N U g N t Z R 4 d S Q B L B p M f K m f i + I a e e X V v R 7 i w e s W k v N V l d X f O 0 P U Q g 8 O 4 Y L V p I X A 5 z 8 F 9 F Q T H U j h I 5 Z G x P 2 F v Z P J l 2 r Y T u 0 J K Q F 1 S r i K Y k i Z 5 6 r I K 2 Y F Q O u J J 7 V H e + V / s o r g i X S o o K d E A O e z U a l 5 i t i s R m Q 3 l t 6 J h C R u Z I 1 a U A g e J V E C K L K q q A 3 A z + d F 4 E l V H 8 n u + B 4 t v O 7 k v S 6 X g K l r 2 f A + g d G P L p h a G D Y N q V p g d 3 x h G z s l V U 7 c O C Q i J a I A n M o P C d b m X Q G b R I K x W 0 0 v e x A M T N h U n 0 d f U I A H W 6 z 4 n F N p X u t K y V 4 J O G X J K J E n 6 2 y J S M a X 9 D E o r Q Y W X w 9 j l K a B N s U B w G B w 6 k O 8 q 2 L 2 N 0 p A F Q N l s 3 D H K z 2 Z d 6 T 4 G G c H q q a x l j N 1 j m + s 7 6 N C B 5 c 3 C J c R 1 S M P / n 4 8 I S 6 h o J h d Y 7 x 4 h 5 P V q R r m S 6 q w X A S r D i h S E Z D v 4 q K R M 9 4 A J t i L r 3 r R 1 9 4 7 m I i Q d J D q U K p / 8 3 N v K B N u 1 2 6 O S k b I V i r 8 u R D o 9 a X i k h C a F A 0 m K g / T 8 w i a a D n W L e g I C t D u 7 t 6 X c N 5 s G E y b m u r Q R J D 8 u s x 9 1 O X c d g r m M c 8 F E u n y f w j u r P M L n 7 9 N v u X L 7 5 t s c K q / c w n H h a D 3 b P t R s w i G h h x l D W k o s i h R m m q n u o + 7 1 g Y S E r Y z h 4 b E w T K W 0 W 6 a a S 7 z Z K 6 G A c B E 9 H E 9 D G / Q J Q B 9 g x G L 5 2 J M w J m A i u j v g t 4 z j R Q T d 3 T J U Z i 3 R U J U 9 g I I C E C m F / L 6 B y 5 C g a d M N p Y t i E J j t T C i I Z 4 W K y 4 v r o u j S T t U J G G j p I m r O R 5 z / t 6 + / W e i p i y 5 B 6 u O R E N R j S B w 7 j j W 0 V Y z J 1 U p M m 3 R E Q R 9 e 9 y 5 M m g 0 X u l u / S S N U X F L D h B a z M t w T I P 8 t M B V U n Z T J v L 0 r h t G k e W J 2 B n k n S F i V 8 W k u K Z z O 0 K y t R I z k 8 i 6 Y Y 9 H v + m N a u E 1 W D H l H 0 D h V u 3 b t m c 4 O T N u 5 d s a v a O b W Q W x V R L s q H n b H Z 5 2 u Y W 7 t n U z C 3 b E N Q s 7 2 Y l K C K C m / d c w M D U a A t s J e o C w 2 O i s W Y O K I / Q Y C 6 T 1 c f Y R 7 O z M z 7 / i f P n y K m j G s t N o Y M B 9 e W K z A K h I N 1 c E s T D n U 0 E B A t A W S f n r m o x A I 4 B B A p I A l O A u S u Y r K e n 1 4 j s Z + a J 8 4 R F A R W B b y A s H A 9 o K J 4 B M 8 F E J J I h b A u h y V w U z F X M b 3 u s I b Q C c m j v a H O k h U O H O E 8 i M / B O h 7 / 4 u e c v s k j P 0 z B J Q 7 D M l 9 i + G 1 M L V p T R G h E E e f r x U 1 J 5 s g / a O t z 1 W N V 1 7 Z J O T N o i h U l 9 S w O 3 M l l B J d k X G j Q S 0 m 9 K o r F e C R z b O 9 h n y 5 s y m E V A Y N y 8 7 B i k S Z u 0 H F 4 s 2 X x 2 S Q b 0 b / z s j 1 i r Y M H X 3 p 6 S R o J Z R G C y 6 6 I N N V b 2 E r t D h N V Z T N X F R c z h q r T A g V 7 B j 5 D N y Y 4 K S R u M d i Z F o G 0 a R D G U O p j O Z S Y e D 5 o H h O r v / Y h w G I t O R d p j 3 O L m 9 U l f t Y H 5 K Q x + h A c T e o 8 + 9 r B n m i U b D 0 4 F 3 a a B C Q a B M K j O j p R 1 a s B h n G g i L H i 6 4 H C h I G Z l U p B 1 N U R p z + k 8 S y R Y g t G W T j o z k l w x I v u t V R J + V 9 K P Y M t d D d x K 4 r 1 l 7 Z Q j 0 S s O z S h I V K Q z k + i o P t q V L W Z 9 w p J l N u x U 4 u 5 j P R N J j d b y z R V 0 / 6 G B u h 2 K z 9 n p 7 g 0 7 3 b M h I i t K k w u O S 4 B h U i X E W C w 9 S b Z F r S T E E Y 4 J m q v O R I i z E D A r e y 8 r T Y S N R / Q 2 m X O B a J u b 6 0 b g R p t s S R J U 4 v t j A w k I H 0 + s u k G E v i O b a N I W F + Z s f m 7 G g w k I 2 C U Y m R y K T G S X 1 P 9 J M e Q G a a x F x L S Y V d d E d d N Y B N G w r 9 o 2 G x w c 9 K h y N A u J Z p h n Q u M S f E u 7 C T U C n u H R o / 4 E 4 m K a Q K M 4 k z S I D t V B O f Q p a A 0 G w c l G A h f C s Q h w 3 s z m 1 K 4 O w V c J S B a n + j U a e y m Q a E L 9 K k E f / u L n P 3 o R 2 H b l y j U 7 / d A J E U b B M o W q X Z v N y B 6 R 7 V K T Q d Y a t o f P n L b t 5 X W b F R Q j h A b I A n c S k E q 0 A m u C 1 l b X 3 I M W l i 0 B k U B p 7 e l u Y 9 F G b x J V L 6 m y L U k m S c o 6 p 6 6 u P k n u I U 8 a s i Y Y s S E N 8 y u / 8 o v C 3 N N 2 e y l n n R r A M J J J 6 l 5 m n s X B z N J k T U n w f / 6 P / q F N X n 3 L v v j 8 e R v v S 0 t 7 b N q a 4 N / / 7 R / 8 V / a H X / u G Z f J V W 8 w U f C 6 H k B i X M m I C 4 F g u W 5 R m J J Q o Z B c e f 0 x E G Z O k X V A b 0 v b o I w / b O b W V c B M i P T p l M 6 F 1 t z X I L H p k 0 w G w O N I X h w a D w A p b 1 m a F R L x M R j P X E R d B o V X x h s J w h D L 1 d Q + 6 / Y Z T Y k T 3 M A 8 S k Z 3 F 3 8 D p V g k M X M 8 E c 7 I W q l d a c a j 0 m k 2 E L 1 l v 5 W U b r L 5 m K Q k y 8 i + Q k q z a r I k h J R 0 F l d Y y G W u V R l 7 L r o s Y d y T 1 Z Y e h h a X 9 u t Q u 3 D E g B K I 9 8 J A V 1 b Y E Q a K q A 3 2 D Q M G u I P F o U z C W l a / M 8 c W i s k e j R B u Q c j t i o y N j H i m A Y Y + 7 O S 5 C i g l p E I 5 D R M b W Z k 4 C h 0 0 j J N k l c a Q n V F c Y q m l Z m R Q I 3 M 3 8 u r R 2 1 u E c k I l x I E o f 5 w T a q C I h T n A u c 1 f E L B K g u y M E N T J + Q P c R v x l A v X 1 B S N 8 F O 3 t E P C I E + 4 k 2 I k y g b a Y 4 E O C 4 y k n f h m Z 3 N 7 e E K k v b c S r g 3 S W Q m 2 z H 0 H W w G J F N B I i U i I h 2 g 3 z 9 2 F l D Q x p H M W e X B C j K h W f u S u C H W z s s f P b U + E U M R F a q H j s y Y s t S u 2 v b u 3 Z 9 f s v X i 6 h L b X V t 1 Z 5 7 4 h H b W J I R L 8 O M 1 Z H X r 1 9 3 4 5 G O J R w G 6 I O L m m U L z D v g g s d e A j K e P y Q 7 Q l C v K G y e z y x b R 1 e n V G a 3 j L l O G x k 9 L I E j W P n U c 7 Y l u 2 d 4 e M T K z Y Q 9 f O F p e + G z n x W e X r Y F v V / k L c J R x W X j n Z z o t 6 e O H 7 Z 6 e d u O H B g T w / T b i d O P 2 m t v X r J L r 7 x o v / k r f 1 n P T t v r r 7 9 l n / v C j 9 n J s x d s c T V j U w t r t p G v W C O R s r A I Y V Q d M z 8 / Z x c e e 9 Q z 3 + A Z X J Q 9 w H I P X K U 9 r M w F E o r h h o a H 3 F i P y u 4 j D C q m + 6 n 3 d h k P Z t m O j 0 8 I n i x a R 2 + 7 E x 4 C h w T 9 9 C c r c w m V y m 5 v a O B E 1 D p 2 B b V 2 J B h W h A 4 Q 6 S I n M T A S m j k 8 X P C C Z I K K u O x j 4 Y Q E 0 b a 0 r m C T M D Z J I P G k C v R Z P N S q p 4 E 2 1 P f S b G w k U C g X Z f u J 8 b Y 0 p o e P O C M R J M o 6 r 4 K e H Y 6 w 4 j d s 2 7 s y s M V E i F l i 9 b B T g G N V A v 3 0 b J Z h w B R M T 7 A U A + 2 9 I S h X k Z A l Z 2 J n r + w g 3 V + t 4 a X r 0 J H W f T F L d 4 r J J V R x a D B p C 8 O Q Z i 4 t Q i e o 2 S N S h H h w K r C U g 8 W g O L Z 8 X y 3 R j S + 3 E c E X x Q R d s j e x s Z j 2 a B N y I N c 6 A g 5 0 A z O t L C + L W V h d I I G g c 0 g v T B H g n 0 d E C B 5 n p F k o a H C Y j i S X t I p k l s x J M Y H s K y j 0 D M 9 1 D g 2 r v g h U 5 j j x s o L c P G 5 V w o c 5 K N r X K x O H 5 T u s f P Y c 5 5 F 2 2 V C f / 8 h F V l o C 2 R q N i u d o y F U j g n x L e p E u b Q b u x 8 9 + 9 A n B n Q 1 b J Z R f D y U X B E s k U M b M 7 7 B w D F x c q z Z s V t K + H m q z 8 k 5 F A 9 K 0 R U m V W T E j 2 i Y j w m i N 1 w U l e v T 8 u g z c W T H z m n 6 f t S 7 B p K W 1 n H 3 7 j a u 2 t J 6 3 2 7 c n 7 f V 3 3 t I A V M y q Q v q x h o 2 y p 1 F h x Y 6 O d l h P m v B / Q R 9 1 z y t i n n T v k H 3 y o 8 / Z v / n d 3 7 X v f O u b 9 o u / + P P G T D n R w 7 m q u W v 9 T 7 7 7 h t 2 c W b Z r k 4 v 2 z o 0 Z S 3 b 3 y 0 6 Q w b 1 Z t L W t g m 3 t y M h e 0 d + l s K 1 u V + 2 b L 7 9 p M 7 I F i z W x Q S h h b + u e u U z O 3 r 0 z a 1 f u z t j 1 e 1 s 2 v 7 B s B 8 Z 6 r E W w b 7 R n 2 C f 8 O L D R y O V O J l 6 i F Y A a b M W C M R u L s w q 4 Y B 0 i s i 5 p H W K u W 9 v F r L C c p C N z J N g M Y H l y g Z O c M i R h A t x C g s Y E R 2 B c b L q 6 M B o g J y 0 N t S P J n 2 p P C A G k 9 Z 3 l 3 6 R L k 5 a Q Z C W T D 7 Y I n i m f O x E C W F x a c 6 i n 0 + 4 8 Y Q c K f g M S S V E 5 9 G u I U X d 1 w R p L a A S r I F R Q y b o 0 D h 4 3 c p + 3 C b O z 4 w W 5 E E t C O a x p i 0 j A O j q F P k W k x w 4 f F T p g / o m E N z g K I k I r n f o 7 b P 0 D w 4 J u o x K o 4 z Y w J K E q 5 m Y h I R q R u u j F v m K X X B B w D R s K o O 2 x f X A E A d 2 J b c R e B C H R T o R Y a 1 L 2 o r R J Q w K n o n a T U p u o I I Q j c D 0 p + k D D A W 9 h G F Y Q E + m D 1 5 o p E y a s C e I F T j Z C Q g 4 a D 3 d o i T f i M U F 1 2 a k C y X p / W L Z l 3 l p + 9 k v P N I 8 e P a Y B S 0 l V k 8 8 g a V f m t u z 3 X 3 x b u F q 4 v q V L j L N j f / P X P m e r s / e M l a v 9 / Q M y 9 r q 8 Q h V 1 I E l a m N Q k 6 J F F h m u C X x / 5 7 E / a 7 N S k v f H u 2 z b Y 1 + n 3 P f f c 8 / b K K y 9 Z d / u u J S N d k r T s 8 h c k l Q R j b 2 5 t 2 5 W p F f u T d 2 d s Y Z P I Z J G J p G F I j S M L Z q u + / 1 + / 8 l O W S z b 1 f V E N V E P C r f a n 3 3 n d 8 u F + e / n K P R E B Y f k a Q U E M B l 5 D 6 h J m u y T V r c 7 D B G e Q W U K B R I + G m 4 I 0 M S N 9 F w O F H U W S x q Y G I A w j i L D Z T s a N d 2 m U S k M a R g O H Z G b V Z 6 M u A 7 s l b z / 2 q U f t c L c k s C D K w P i 4 L 6 1 + 6 d W X Z Q 9 k d Z 0 G L B w T b N 2 1 7 N a G 9 Y 8 M C r q B 2 Q U x s K v E G F 1 t a a t I w J I U B Y a R r B G R t v k C w U a l K Z j R b z X Z j 5 u S 6 C w 7 G J B d 1 9 s z I M l Y t c y O j O 2 4 6 q E B F 0 C W P R P k c E h E k p a U d g R G k d I Y w s s L i s F Q H U I I e T 2 H V a 6 i G h v u H 3 a b Z T G z q m 6 o 2 1 B f r / o m J F t J 9 o x g I Z s y Y H O y R R A R D q Q 0 Y N K U P q A P 6 T v c 3 9 h N v M 8 T 6 4 A l N Q J I / E a 5 Z u P D o y J E G f o S k D s t F Z k X Y n L 6 V 5 C L w G d y 9 a F p Q T z r + Y w t C y 2 M D p A N q s 3 D j Z h 6 y M i s a J c A Y F F i W L a i X u 5 2 2 v z M r O c q b w N C C 0 X 1 d v e I 6 f S L a A Q P 5 C 7 K Q U z B a o e w N D y h V x p S C f a U + w A Y z 4 3 8 l m v h h G s x U r 9 J C q v u O N 5 Q L t 0 D a R e Q w E g R n + o l w Z n q E U 2 1 2 t u X b 8 v M 0 H P + 0 h c / c T G V I m 8 D q Y j 7 R P h r N j A 2 Y a + 9 K + O 3 g a 8 f m 2 D b P v X 0 W W m S n G P Y Q 4 c P e 0 J + Q j r 6 1 b D D h 4 6 o I 7 O u w l O y l W j E O + + + q 9 / 6 b f T A h B 0 + e E I q c 8 B m Z 9 e t p 1 f S 0 D s y q Y H a 9 l A n j E 6 k I k s x f F 2 V p P b y 4 p S d O z Y u K D V g a Y 9 2 S N g B d d b 5 c w f 0 O 0 u Y I 1 Z S u 9 Z l D 9 2 7 O 2 v H j x 2 0 q z O r V l H j G E d V R R B O e F h S V i S m d 2 i g R D g Y q H Q S x O 1 D I W O a y W j W 9 P C P Q m h O Q 5 1 J 9 l z w N 0 Y r g 0 B o E r A C y O e J O 6 Q Z W Y r e E m 2 z p e U t W 8 G A j k l 7 x M N 2 b 2 b a s i J + v E Q r 0 v p k e Q p r U E Q v 0 j r q U 1 Z R 6 n 6 2 + + k f G P D 1 W v O C j M z c 4 5 p F D s c l 9 Z l D S U o S o t 2 K V d l + a l t C x B x V n x H E G V M / k o W K A F R P E K m + J c w r L R s 1 I o 1 T z B X E v A n V S f B U k h e X s S c i K W 5 b V v X q k L A i 3 x + L + D x l m q i H + T N y e L M q m d 0 y x E m C a y J W w d 1 2 1 Q X I 5 A 4 A 0 Q 0 e x 2 5 B t r Z o Q k y t v l d f X j j 3 u M 1 O z 9 i v / 9 p v 2 r 0 7 U / b J j 3 9 G D D p s x 4 6 d s s 3 N b X v y w l M 2 O 3 / P Q 4 v o X 6 B W S i i n L Y V X c F N 1 y z m s Y l c P h G J W m j y k d 7 p 7 W 8 J N 9 o S 7 / l O y x 1 Z l u 4 I E c D 6 R d p m k p P r D h Q 5 a F w 8 s A c a Y I A g M n A s x M W F K N M Z 3 f v f J f x Z P q m + A c o T X g Z 7 Y F g g 4 S P 4 U r k V j E f d H 6 B q r f s P 4 G G T T z 8 x v 2 N x 8 R g h C 5 3 7 q R z 8 u G 6 p T k E C y p I V 1 / p I + 6 u S 3 r 8 + K g K Q m B a h i L U V 7 7 M Q h 3 7 J l S Z j 1 c 5 / / g l 2 6 d N n G Z S Q i 2 U n e z y T u N p H d I o 6 5 + W k x 0 Y S 7 z + 9 N 3 R W h z d n 0 n e v W 3 h b R Q M v o F a w A A i E i I F A 3 I v W c w j Y 7 I E i z q D G P n B q 3 8 2 e O 2 4 Q Y 9 t H j B + 3 s i S N 2 8 M S 4 6 i J J K + h C J i J m 0 W f m F m X r i U p V 0 j K O W T o t / e 1 S p B k T o 0 R 2 7 Z / + n f + j f f O b f 2 b / 8 z / 7 H + z 3 f / / 3 A o a R e s e o J j a M 6 G s P j Z K m A F G I V w K O R J W p L i y + Q + q y c h M J i 3 s V d z i x Y z g e G n X m s i I + 6 U 2 U h F W 3 B c 3 Y C E 7 E n m a 1 q q D q o L S S p C B 2 w q a Y p K u 9 B 8 V g 3 X 1 D v s S f k K x d Q W 4 G f n + R X j C p K P m n 9 5 C T I i 6 t l h b x w 2 1 R C Y g w 8 3 J i q n A o y P / n x r X a h M M h L Q k b J j + H x o V A Z G x d Y g v R H I T L s M D w 8 M R B o Y A g n x 5 z S M w d k i 2 K R P g V N D 2 Q L 9 k h s S N 0 I E 2 C 6 5 s Y O T y 8 2 C O b s t c O S V C 0 6 R l 4 V N E 0 p c K u n X / 0 e X t 1 b c L + 3 5 e 6 b d b O 2 X f n O + 1 v / 9 R j t j C 3 J A h 3 Q P C o b n e n r j p y w F v K / F 1 M h L y y S r o y Q q 5 I f q m + V g U c m o l Z s O 2 I q 2 x R f / R K S x 4 4 M K 7 + q v u 6 K R x D O D V I Z 8 B K B + b O y J O B 4 4 i c g 6 w C 5 3 l u e / G p 9 h J t z q w g m X N p C 0 G 2 O V z 8 q g 9 h a / 6 7 U A x L d P p 6 e v W 3 2 i v a w l v I M / W z r m u q T 5 t q y 7 K Q S 0 x 0 I 8 H 7 x c 8 8 d Z G V l P j 9 U c E s 9 A O n y 5 y w r e 2 S R i 7 I a f 6 R J 5 6 w s h o I H D p 7 9 p x L / K I w 7 g u f + 7 x D o m e e / Z j N z c 1 L C p 2 w 6 Y V b E t x N a 5 P k J F d B p w h 7 Y r D H w 5 N 2 t s l I M y C o h m + f v a S k J 2 p B I s h 8 V r B C f 4 d l m w 3 3 d t u A p B o h Q g u z M z Y y c U i a 6 J Y I v 2 G D B 4 4 7 w a 6 T L 0 6 S P h R L W m V n y x 4 6 P O r G 6 r q g Y y T e Y m 2 y t z r U y K / 8 x E / I H i n Y w 2 f O 2 N j o k H 3 u U 5 + 0 h 0 + d t K c f P 2 / H D h 6 w Z 5 5 4 3 J 6 5 8 I h P A b A m C u + d z 0 + Q l 1 C M 0 8 B z p 7 9 Z w U p n B l E O 0 n B I M j E U u o q 5 H N Z w x U X c g z 3 t n i G J i e 5 L l 2 / Z 4 N C Y x Q X 5 8 D L F h L m P n X 7 E H n / m Y 7 a + v C L D f k R a h 6 D M k l B t 0 7 M a 4 W p H O r O u j P f G Z M f g c Q O q s V S 9 2 o j Y W q Z k G 9 L O u L N J V A I T 4 f U r M X G r P s c 2 a 1 b r M u q 7 1 U d l C Z 5 p l / p l C T M y 6 r b q + Q X B v d v 3 7 v g S H B J r o p F w N L H M p V O Q n k l U F t u 1 S u u 6 9 0 + E T R Q 5 8 0 V E E Z C z P N j x I t h 5 E m 8 p z O J z N Y u v 2 m z o Y R d 0 l K l v / X e 2 u H j X V t d m P G L D s 9 j K 5 p Q y F 8 R i V 8 W s C 3 M m R H D 3 E 3 p V E 8 x j M t y d B h K C a B 0 C C l h O w f t m B Y 8 R P j g + c E K Q T 5 G 8 6 6 Q S c M 2 H 3 S N 6 Y Y 4 K Z x m 0 Q V Q 4 g o N 8 E p 7 1 V u P I E o 2 S n l d S 3 4 B u c I c z 0 Y s A 5 X 2 M N Y 4 O 5 i W Z w 2 Q u T U S n d 7 f b 3 b m i U F L Z U Z k k m 4 U v P H z 4 I h I Z o l 4 U g R K d D Z y Z n F 2 2 T E G E V d u x k 4 e G 7 L C g G 3 u m / t z P / Y I b t 6 R f x h j t 7 u 6 1 0 d F D 9 r u / + + + F J 7 v s 4 U c e k f a 6 I Y k Z F Z N m R S x M r m K 0 N c S g W z L W k x 5 6 j 2 e E S U i y + 4 B j a T R 1 I B k 7 G 6 l 5 K r A u c k 5 L + o t 5 D x 4 6 a U X h + J I a O r O S E c H I O N w t i Q B 2 b G R 0 0 D I b q 5 5 m u U c w 4 K M X n r S J Y w P 2 3 / z k l + 3 T j z 1 j 3 5 i + Z q e P n L C b t 2 9 b V 0 e X b 7 i d F j w 4 J a b 6 v a 9 + 1 S Y k Z a 9 c v m R X b l z 3 e u L 1 2 o e h r O 9 y K C B i I T 4 t m D D U w E o K B t Y 2 z C R i w z q T l G t r D T n D b c r 2 Q V A R M X H 7 3 r y d P n 3 O k 2 F G 2 j v V t 6 v G 5 m m P n T v j + e e Y C F 2 Y v C n b B 5 t E h j L w Q u / c D 9 A E 7 w M 5 I G I J R t l C r N W R 7 S c Y F x V D Q d B 4 0 p C 8 + s O J p i H i I N U z U e 5 1 M T r a j n k S d / G K U E l C M z Y W b I I A h C P n R C K Z s J n Z e V 2 v Z w i l o E G I b m h V X X C / s z J 4 Q + N C O 0 c H h 4 y V w M B O s u A y + R 4 l m F j d t 7 W 1 b u z V N N M 8 5 8 x E G b G 3 1 F U I q 6 L + C p w u + X x R / S n E E U V 7 k F a M m M l g E h Z 7 D Q 8 n K I C 2 J 6 R B m Q f i 7 9 G B Q d f G F T E E j K a L P S 4 z r v Y R N l Q Q Y 8 J Q 9 B 3 5 6 T F p Y H Z 2 z G B u i T G j f Z 7 h S P R F y j d J x / v h R q T F A 5 0 Q S w n j E u z Q 1 k Z U E F A x 7 R 7 i B B u 5 v 3 P b m U k P 0 R E g l / D P / s R n L + K p Y f a Y B 7 E U H N V 2 e 3 5 L h r x U v U D f 4 Y P D 9 p B g 1 8 r S j E 3 d v W l d B M l 6 G q q 8 Z 3 0 9 e O i 4 Y M S W N x I p m m 7 v V X 3 K N j x 6 S t J o 3 V 3 i V 6 / d s C / 8 6 E 9 Y c U c q d H B M 0 l r 2 W Z W E / C k R A z m u S b k l q a / K R u N t t i i J W s m t 2 k 5 e m D q 3 Y f d u X V W D 2 H 1 d G q l e c O h C j j m 0 C p q C T i U E h J z i T U G v Y n 7 J t n f z d l n 2 1 b / 8 n a / Z N 7 / 9 s r 3 2 z m V 7 7 c 1 3 7 J 3 L N + z l t 9 6 0 r 3 3 j j z y + 7 + 2 r 1 2 1 p Z d V k N 1 t D R O E d A 6 P g z U L / q G 5 E d u B A Q H K 5 q 1 Q E j a c H X O 1 M x y E h U d g p 2 c L K p g Z a t p b + n T x 6 0 F I J l t b v W C a n t q i P R s c O 2 M 2 b l + 3 G p X f s 8 t U b / h z i A I l w R 5 s w h 0 L E B N K Z J f A E 1 m K f s i k d i y / x u p J N i A h o Y s y E T w X / 9 C H i C u s e f G J I 7 H Y J K u a D W E q e Z C 5 K / M 9 k M d u y M v 8 F x G E e E T h D N D 1 b 0 q g q G t e C Z T P r s k e 2 L S + N T S A z 4 W W k f l 5 e X v D 5 G F Y l E 8 r l w a o S k j i l 2 h K 8 Q 3 0 l Z L D b K N t s 8 z H V J C h j t c u q E x C f l a 0 S F g I / u M G Z i 0 L o U C c E E B P 9 w G p U B X k 2 E L q + 1 E L j i + c U J o 5 L G 7 B f F L t j s K Q D u 5 P e Z z u i g q 7 H w V E Q g 9 I H L L F n c h Z P r 4 8 Q N r C 0 I + 5 7 U o P v L y I E w g P h I t h p G l v M g J j Q x 3 a 2 Y D 3 9 E 3 p X w b p 7 h 3 S f + j o R t 1 f f u C Z N L j E q t E B 1 c S T p 8 d J Q j x y 9 O C J J R d 6 G g Y F + 2 U J 5 v a B m S 7 m m r a 1 L I g j y P X q e 5 R t I v 1 1 7 6 K E T 9 v W v / Z 7 d m b x j 4 y N D s n t y d u H x R 2 U k S s 2 K a N j l 4 d j R Q b t y 7 T U 7 d O h h 7 6 Q D E 0 c 8 G c u p E 2 e t r a P f F h Y 3 1 J F l O / 3 Q w x q 4 N T U Y m y M w g F t T n Z K G L F N Q 5 y M 9 R L C 4 z Y m 2 I F o h H g 9 S e S 2 v Z s S c w v 4 i K m I O B 7 o 6 J C R 3 L a d z R R E / u 8 b f u D s p w g 7 b l 3 / m 5 + 1 X f v U v 6 3 k a 2 M E + 7 6 j D h w 5 Y f 3 e H f e Q T n 7 I r N + + K Y N U h q G o R M E z E 3 l E N S e q G 6 t m Q d H e H o w a Z C U e H A y K S I E q C a 4 F D Q R 4 L 4 O d u C 0 k Y J W n V H + d O H b S W c s 4 6 2 g U b 1 Y e s t 7 l z 4 4 Y M 8 p i 1 q k L F s o h B g 9 5 U n a O C b t s 7 p L u S F F f 7 s Y u 6 1 R 9 s 5 c O 8 1 o q E V y F X d M O c 7 L 1 l E X x c w o R 1 a E w 2 E 4 W P V C f f N j Y Y E I j 1 T 0 1 x G z C + L u L t F a J A K k 8 v r V h W t g V 9 D C U k J c Q 6 x I B D Q y O y G b r F m A 1 P w H n y 2 E m L g i D E d L i j 4 5 L w L G 0 n S m F L Q p U S F R z l O x H g S H 0 Y G 6 f R Q O 2 7 d i D 0 u p 1 t v + 3 9 y M Z 3 U T E l G 2 T 7 p C 3 M J w H A 7 o 2 k r G t K m B E 4 z G Q p 0 e f Y U 8 g J B B r t Z 6 O B g f 5 B a 5 d A w 5 v I i u + V 9 V X d S 8 w l 4 V e C Y x o L 6 C S n P v Q M u j r Q o o w Z n k m 0 E 2 u 7 0 P 6 Y G x w E b G 9 m N o z l I z H V g T T U b W I w M i X 3 9 g 3 a r X t L d n d 6 2 e a W 1 k Q n Z Q v p + Z O z G 0 J X 0 s i i r x b Z / c 6 E M O r P / c y P X C T Y l W X M 4 M Q g v 1 n E 3 r g 6 G 0 w C q r / P n D l p v R C E s O f o 6 I h d u 3 l T a j D j K 2 V Z v P e v / 9 W / c A h R L G a t P V b 2 J R 4 4 O U r Z Z R / o t 9 5 4 y W P O 1 j L z 1 i 1 I m c 2 u W l Z a Z 0 g G e U F S m 4 y z a D c c C g l 1 L A P W k P r 3 P Z w k j S E w 4 r H I z c e E Z k Y q O N 0 z I A l R U I N a B N 9 k Q 8 k + Y / c 7 N g t D 0 m x u b r j U Y 0 E Z 6 a h m 5 2 d s a G x U D L x t v / D L v 2 J / 9 s d / a P / p b / 0 1 u 3 b 9 p t 0 Q Q 9 H Q O o a t 3 h k S Y 0 X 0 3 J r a H w I + i U C b 2 E + C W M x v B K M M 3 c B Y r K A h C i G Y 9 2 g R I c J s z L g T P t M 7 N G C p U N V y W y v W L 9 u K 1 a S 9 P Y O q Z 9 N u X r 1 m k 8 2 z d j v x G Z u 0 s 3 a v f s Y G m r M W b S G C X 3 a U p C m S G e e L B y M L g q y v b x r p r A g k b u V 9 q k + i v c t d 8 H g r d t W P r d h k s l s x u D n I X O Q O g 0 b I A 5 U X x E z N W o u N 9 o 9 a X 1 o w V F J / Y W F O E r v D k p L + Z I L C + 5 p s F S M J R R B Q y 2 4 a K 4 L U w E v m Z d T F O i 8 N I k G 5 w W I 8 9 V d F Y 4 Z W F 1 0 5 N P P Q H V 0 D V M N j h n A j n L Q k p m N X F Z a u 1 9 V P a d n K D Q m i c j 1 s y f a U J 9 t J R i P q I 0 E 6 C V K P 0 9 M 4 z C 8 v + v q o X m k g X 0 E r x g e i A f d A N 3 S 8 y N v d 7 7 u M o / 7 h u S 5 K S 5 P C m Y W u o D D s p 5 S + M 3 n P R C + e X 2 x g t B X J Y 4 i J H B 0 j Z 7 9 s o 0 j K 3 r 5 8 x y o N p l I S 3 o b W 1 p g t b 0 j o y S 5 W w y V 8 o B s J Z H w M H 3 v u 0 Y u o K 8 I 5 C N 8 g J i o U b b P v X p 7 y e R 4 I J 9 0 W t n M n J u z 2 z e v C v u o E 9 S Y S 4 s S x I 8 7 h T O 7 i h S I G q r e r 3 d c 7 Y V S T W J / Z 9 t G R P m t U 8 5 J Q K 3 b p 3 d d t v D 9 l v e l 2 m 7 x 7 W f c 0 x Y A Z h x p 0 f P / w u B u S q F y W 4 5 M 5 C a 8 L a h w 7 g Z w I x F a x e t Z j 4 6 S i 2 f w Z b U n 4 D Y S c l r Z i a x F c o 3 h 2 q u W C 7 J i 7 9 m / + 3 d f s 0 t W 7 9 t U / + E O X d k C + u 5 P T 1 h C z I M F o K x X B 8 a H / J A F b H d 6 J u 9 1 u w N F N 8 c 5 T E Q 3 t F T G T 6 i Z h 6 w w F / F M L 9 L g W 1 9 j M e S U 7 B 6 0 k i b Z Z a N q 7 1 + 9 Z Z 7 L p a 5 d y o S H L h Y O Y N M p Q X X 3 S w r b 9 8 F J E h E g g K L n N C x 6 x j V Q H P q K Z f A O B D j E p 8 H m 3 Y r v N i k O d 2 d V l 1 T F u o + N H 7 a M f / Y L 9 Z / + 7 v y N m T 9 q R Y 0 f t w m O P 2 + c + 9 Y J 9 9 N m P O e T + 1 V / 5 K / a d l 1 7 0 p d y 0 K / B 4 N W x K D I b n d k 1 2 6 7 J s 6 5 S Y G K n O W i F d I g K u 2 b r 6 m 7 i 7 / q F B 2 V T D 7 l B g 3 s y L O n B l T e h D Y 7 S l s X I t H k 5 Y R s 9 k p 0 p S Z x O J E J I W 3 S h W b U O m w O r W T j C X p L 5 s i n a I G A e Z 0 J P M c R I O h Y b C + 8 c q A C a s m c r B i w f 0 p / S R Z U n M n M u V B F e L x p Y 0 W 5 m c H T h w 0 H o l z K d n Z z X E u 9 6 / a C 5 W I Q T p m d v F j I J w Y j Z y Y g B l W a Z x e 3 L V N 6 T e r c v 2 F E 0 g 4 A f F n G x s D j 2 E J f x C D Z x K T M X o + P x n n r m 4 s r I W u G i l M s H K e c G V 6 / O y A y R d 2 G M 3 X N + x M 6 d P e q J D c u t l J J H Y j 4 i M n Y S 0 Y K i v r 6 0 6 Q Y 2 O D N r c I h K w Z n 3 9 v T Y 2 P O i 5 0 B d 0 b p 6 E k H o p K Y u R K C y W A 5 p l h V O D B C 1 R 4 e Q O M R J L D C q O 6 5 m l x 8 W O e 7 1 S L V q w o x x 5 F z C 6 u 3 T v l k P N u 7 d u W q I t 6 V 6 / 8 Q P j P n e A s X v u z A n L M N / S N 2 D T y x u C O c w r x U Q 0 2 D 6 8 U 1 p H H Y P j A W h B v Z G s J I s n t o 0 I A z q Z Z e m 6 y J m E S T 4 Y E E H k O 2 R o I G i P T y T r w D s k H S f G I P o 5 L p t q 3 u Z k k 0 5 N r d u 9 q V n 3 2 g 2 2 k 9 9 N x N B 1 3 r J 1 d j c M y r H 0 t A Y n K w I h T 1 2 Q d z C I P 8 N G k C 0 j i Z z Z X J c 2 l q 0 p S Z m T Z m a 7 G i Z g M / l 1 w a 6 o p / W K x Z P q 3 0 5 B n o R t b e X t Y x / 9 m F 2 / d M X n p c 4 / c l 5 w p t 3 O n j m j 6 1 r t 5 V e / 6 + v C 7 k 3 e s 6 W N d V v W W N K v r E x e X F 5 1 K Y 6 D B k c C U R w l E f m O j p S Y i + h 8 t g J i e Q P Z d 3 E 7 d 4 k g f c G e + p O J 5 3 R 7 p 7 F 1 a k u y z b Y E 5 5 f W t s R 4 B d l h s p c k z H b Y + G 4 3 L I H K X F r I B v S s J i 5 + H Q g t 1 4 Z C H o Q o 9 X V 1 u 9 M l t 8 V m E i Z G S H k W W X a h J K F P X v 3 2 K 7 / 4 V + x t t f W J J 5 7 0 D e 6 W l 1 b t 4 x / / p B 0 + c s w u X 7 4 s N L T t E B a H B V E R 0 C 0 M J m X j N h 3 e R 9 b 2 b W x u 2 + X r M 9 K 8 O H b I K U I A w I 7 s q o z o F I E g W t E 9 I W C f B A d C N / z Z T z 5 7 E W I g e B F D m / w J l W i n X Z t a d E n Q Q o M l K U i J 9 f C Z U z Y t S S 8 B 4 l x M g C H M R I w Y U A n v F P f T W e D v n q F h W 1 q c d b V 8 a 3 L B D k 2 M + 3 6 v D B D 7 s A I x Y W I 6 n h w E + P G J I s Y B g N H N p m L M B 4 C z k d S E 8 A C v 8 K i B d 9 d z F T t 6 4 o z d u n F H h J S W N i S i m b m F n O e Q y G T X b U j v E X 9 a V p D x p b e v W k u M Z c 9 6 B s y A 1 F R H 0 q G M G r Y J C 8 V 4 d k P a k W 0 g Y T T c x T I K H E L A T D C V j 7 L / x 8 2 B N g I C w k S s y 2 L n d Z g O h 8 P H n z x j j Z 2 s H e h L 2 o V z h 2 1 8 Q N J Q l i y B u u 8 0 P + m M t F 9 6 o k W L V F b d R U t + Q 2 I k 2 S 6 H i A I y I z H Q h B V t S r h t y n 7 N y u Z d k w 2 6 I x u 2 R f X v S a T s U L 8 I y + f C t m 1 9 d c l u X H v L 3 n z j 2 7 Y t I V O V A P v j P / 4 D + + 4 r 3 7 F v v / j n 9 o f 6 v i V G Z A 6 I F d g R H B 8 S E o c E j x v Y p t I 8 e C 1 Z j c B u g O T X Y + K 9 R X Y H i / I y q x u u n U j 8 g i B C i z C v y N z W i j R Y K C L B J B N C P W o 3 Z y d t v V i W h m K + L 2 a p v k O W 3 Q n p u Q W r y v a N C E 2 w A q 7 b Y w 7 J e o T N z L J 1 0 U W n b E Y J 0 b / y l 3 / d p u 5 K y w j h / v Z / 9 r f s x W + / b F / + 8 i / a 6 2 + 8 a / 8 H / X 1 F Y / y l L / 6 k v f n W 2 3 b i 5 C k P X b p + 7 Y b 9 2 J e + p H Y k 7 B t C J a 1 C X E B X h C Q r E B C Y a E s c U Y x o U S Z G Q z X O F u u y m 7 I a z 7 j O i w Z E E 6 3 R m h 0 Y 6 x A 8 b r O S N G t j l w B u M Y S P t R T Q 5 z 7 x 1 E X i v 5 g c x M 8 / L 5 y 8 L v W 7 I J X G p C 2 T W y 3 C t 3 P T k / b Z T z z v 3 j b S M S H d W O A F N m d V 7 P T 0 t B i E H c 7 r w f I F a R G M e D R a X p z c 0 d V j S e F 6 I g a I + 6 K z K N g d S B 8 i f Y E 4 r H f R u D j T s o S C + Q G W a U O / S E m y + o F h 2 a X u 7 M N P C 3 b k x Q C t 9 s z z H 3 V p S 5 7 z Z w V n C K b 8 k R / 9 U b t + e 8 n W t y v 2 O 1 / / c 0 k m a I X c Q U H H O T v o R S w 6 r E v 9 8 z d q X H y h r 2 o 7 9 o D q x C H a 0 Q 8 C c s A 9 V Y Y n 6 A f 9 L z D q m Z f j c K w I v w n K S m z 5 d Z 2 J h j 3 + y G E b 7 g v b + G C X d c o w L 0 j b s g l N X + k l O x 6 / b g d 2 X 7 c L X Y v W L O T t 1 u 0 Z 3 3 G v W N p y g x l D W 0 h S 4 y H D V w N N c K n P V 6 m i n I m p D l 2 y O 9 P x N o 8 v m 5 f x v C r 4 H h f m H x 0 e k m D Y s r 5 u M Y H G C d t V I 2 2 t 7 T E 9 P 2 + z S 1 O C Q l 2 C Z Z u C d V 0 O s Z m 4 T Q l i M f l L j h D 2 k y X P O d 7 g M Y 0 f K 1 e 5 D 0 R A 4 p y Q b M Q O 3 b u 4 P C c o v m z l p u w Z a U Y m u s P t v b a c 3 x X D m 6 1 k c d 0 T Q J u y Q r Z m W 9 v S Y D u y k 8 p 1 i 4 t W / v 7 f + 3 t 2 5 8 p V S 0 k D / c N / 8 P f t x W + 9 a L / 5 m 7 + l 8 Y 9 L W H f 4 2 H 3 i 4 5 + 2 r X U J B t 0 3 O D A m C C o U N H 7 I b l 2 7 b Y c P H r O S G J N M X G z Z c / 7 8 4 3 Z w 4 q D d u n n b b S i C E m Z m Z q V F 8 9 J I p A f v 9 n E m u o J 5 M Q p z V E x d C I v a 5 G x G z I X w F Q 1 o I C M a z 4 n h D u v q a O o Z e s f G j u 6 X u a B 7 s f M Q n i H 3 x 4 u z y J F G i l l m 9 J N M Q u r h g d N Y q r v J o j O z m e l Z q W 8 Z r p K W h C r h p y d A N l j R i D S N C s 4 V p S E y 6 t x 5 Y 7 3 S 4 t K 6 b W 8 W r F u D 0 k 5 c W b 0 k W B Q R H q 9 4 V D W a E U Y h M Y b n Q k M 7 q X I s 8 Q g K k c q S c D g G R M g 0 G K O R k B d y b x P Y y Y K v h A z o U 2 c f t Z p g Y 6 K 1 U w Y 1 R 7 e d O P W E 3 Z n O C D 7 y L B z K Q c d R n C n 0 z J I 0 6 v 7 f 2 D 8 U 4 C A d 6 e 5 x 1 Q f D w T 1 5 u p 9 P u J 7 9 h C 2 k 3 z h w J L A f l f 6 B H 0 L S Q G y Q T H l t e t 1 u L 2 Y 9 p c C G C H p m Z c Y a U b 1 X W o X s Q z j Y G 6 o g E S S X 7 t 6 w Y i x i c 4 J a M D C R B D u F m r R t 0 b L l b U n N j C R 4 q w 1 J m P V L q H T I X h i T b d X P 8 u 9 E 0 p a 2 M j Z X W P e 5 J 5 G H k V k p I a 1 V K E i b b A q u 5 6 W 1 p K m y m z n r k 3 0 x 2 N V v G y t s A N 3 r Q q p D U L C 7 T c a 7 x p I x 6 E h L w 4 i Q j h 0 9 6 p P H L N 8 p 1 y V 8 1 H 7 c 7 n P L i 5 Z X 3 V l H 7 Y t O 2 z q k o Q R N S z G 7 N W f 2 + l V p v 3 z E J t c l A O o 9 s q X T l p F G q u 8 0 r U L a A r 0 7 v 7 Z h u b W M R W o t 9 t d / 4 z 9 R v 4 U t n x H 8 a 8 b s 9 7 / 6 R / b 5 z / 2 Y X b 1 y X f Z O j + z 4 O / b R 5 z 9 h 6 y s b P v 4 4 s A h 9 Y o n F j r T 1 j 3 z + B b t x 4 6 o Q y q D q 2 L S L / + V / Y U 8 + 9 b j d v n 3 d v v p 7 / 0 7 2 V s 6 j P t B O z D E R 4 + g R 6 F I A p C 9 r Y U 4 M U 0 e a c W 0 z L 6 U A J 6 g g 0 W X L D / R J 6 L C M X s K J J U U + L y m q c L r Q Z e H z j 5 y 8 C B F j D 7 B T I U s h C u U W u z M 7 L 2 k i z C x i j T A b L 6 4 9 M t Z v A x 1 t s m N S 7 k A g q B Q P C Z u H M e l L 5 C 7 z I q 1 t E U n E D t 1 b d r d 2 j w x e J A F M h y e O n B V I 1 p K e D e G 2 R B O S C i I r E Z C T s z 5 J Q I 9 L v o Y W E J F 7 T J 0 + y V B K 5 l T S b 6 2 t C 5 7 u 5 E Q 3 F b t 6 + W 3 V p 0 X w M + 7 J X M 6 e P S 0 N I P t h p 8 X + z b / / u m z D q v p E s E y d D G z k P W g b 4 A j J G n H P 8 z e f 7 7 E c / a j r H c J R j 7 2 T e w U P Z n B u 7 w d d 6 8 a 3 Y A 8 T 0 p z l Y C X 0 3 P y C p y X u T b f Z d m Z d g 4 k j Q 9 q / r j o n 2 n 2 p f k i 2 0 n q h 4 i m s R g a 6 Z K B D M N L 6 E j z Y C u 7 4 0 L N x 1 g D e y Z r K 4 k F S C j O k D O x 2 q W i l m g h D q p Z Y O Q I 8 s X v Q y u Q y h w m I 9 K a e r H x l 6 c 6 W m J A g 5 b Z 4 y r p l f / V 0 E Y p W 8 S U 6 0 E Z F t i z Q v K u 7 V 4 z T t J U N 8 r x L i K j v S N C D n Y k b B o c G Y W H V R q t 9 5 7 t X b b e i 3 9 A + a t u u m I 6 E k y X V D + T B F E Z Y 4 w Y i w J v a L s Z 4 / N H H f N 5 t f H R M G n F Z w l Z E L 4 F z 7 P h x + 4 N v f N 2 e e P J x z 9 J a l A l C 4 p h T p 0 / Y / + f f / A t 7 6 M x J e + P N l 6 2 n r 9 O + + t V / K 8 2 3 a U u r S / b i S y + q b j t i x s s 2 N j Y s G p D S 2 N m W o G B z v I L o h W j 9 v M a H 9 V h i H C m A k C p G N E R U m n 5 K G q r W b N P p P W A f h q G A e q J 9 C e z N r Y p I N e o x n i g B V o W H n 3 r 8 z E W S D b J u J J 2 S 8 a i B S 6 Q G 7 M 3 L V 9 Q Y 0 Y g k N A G D k P r 4 a L + d n O i x L U k 9 W S u S 0 G x E 1 e o L 3 n D r x q I N y + c 3 P c S I / N V b m U 3 B D h h F H S 3 o k p Z R H Z P q J j 9 e R k Y v G z h j O 7 E c O U h C 2 H R S x 5 t U E v 4 n V i t G A K a Y k Q Q m p E P O C p o M S Y s y p 5 B K 6 1 m l T T F y 2 J Y X p + 3 U k Q k Z w R u 2 I 2 3 L H N L / 9 G 9 / 3 / 6 n 3 / l f B S t 2 9 F x c 3 m I V l I b D s 4 A J m L v w 1 s E w + h Y w 0 x 6 D q O x f 5 6 d g r L 3 D G W f / N A d / S B C g y f x J e h c d z H c E T j 1 M E O W K J / e M N U T k Q N d 4 x O d b m K j F C b I s + H r l z o z o N C 5 Y m F D f t Y j Y N z 2 A E 4 8 l w Z 8 I A L c h I 2 H B 5 I q Q Q 8 W i r b i f G 9 I g M p j L J G j c l d T u c m a i f b j U W W y H y 5 p J e Q 8 T k v 0 7 Q 6 J O C U I M c T K i d q S 6 X I B q 1 P V 7 T M T D h G 5 e B n i 7 O y R Y n 8 W U C P t S V a R d R 8 c m u N Q D a W n 7 s e M n b X G V H e z T t r T C v B e T o y 3 S s G x O L v g L l k b 6 S 9 g w Q U 3 G K i Z Y s V P J e 3 7 h w g V 7 9 b X X 7 I U v v G B / / C d / Y k d P n 7 L l l U U x S r e 9 + f b r 1 i c h 8 8 r L 3 5 F 2 X X M n x 0 s v v 2 g t 8 R Z d + w 2 1 d U d M O K / H s j B S 2 o a 1 X u o j a K c j n f S k O + s b q 7 I 5 C U A o u q B g a I H U J E b 1 4 A A N V j g W d u S U a u 2 z m b m M n i e o L C H G I C M o 2 d A c I d Y M t d r 6 O n t a i Z F A M B L 8 C N H w 8 0 + f u + g G l i A Y Q Y h s D 5 k Q f L g j m 6 k m l c u L s Z E A 8 b 3 C 3 c f G + 2 w n n 3 M P D 1 i + i A b T 7 8 x H 5 T a X 9 X B x q f 7 h L s W v T w I Y y W L r 6 h + Q J o p r 8 H Y l J c h r V v W D 2 W y y c d L J Y N C q D H C W k 2 P k B s u 3 U 4 K h I z 6 L z 5 x E Z 0 + 3 n s f 8 B p u J s e 5 G B C 4 i I 8 a M e E T y a 7 9 + a 8 m G D 5 2 y F 1 9 9 W 0 Q m C S t 7 S o 3 z + g R M o Z 5 D 8 z D A C A x J J m e 2 P W 2 o / + n 4 Q E E b 7 R U Y y j W X / 9 P f M I + e 4 8 y n O q N p k V o O F f U b Q s O I w B A j M 5 c z O i 5 C l J 2 7 I c 3 Q F L z G F M 9 V Q v b 6 5 S n b F D Q l 1 m H i w I C Y o e R u 5 K j q x z x e K i 4 I J o 1 C b B m R / p 7 T Q 3 2 3 K S i H c C P W k g y q b F E J r K n p / d h N 1 J T v T L a S w J M d 7 I n j Y / 6 G J e a s Q C X q g Z z t T G p C W O R 5 Y E U x Q b N L b C m j p y S l S S c O T E i Q E R r V I q S Q c 2 9 h W q i E b U K b L Q l L d X U L 4 T Q l 2 G Q / 6 3 m E l p E E V D d 4 n / m S D h n x R D w 0 Z W v V J P h w C o B Q Z m d m 3 I b / / a 9 / 3 S 7 J l r p 6 4 5 b s o x G 7 c e u a O w o m p + / I x t u U X c S i 0 m 4 P 1 H 3 1 r d d t a G T Q J q f u u g u c F c G k Z 0 a z N f R c r i H t V 2 s C Y M 1 m 4 N A M W y 6 p H w W n Y W a m g Q o S 6 A V d x x J 8 I u v 7 e g f t 9 t 1 Z V Z U V 4 j 7 K + q d 6 S 9 A Q k u X R M D X R u Y Q G N q 4 L W I 1 7 + N i R / o u s b W L h F 2 m 1 2 B u H I M L D J 4 / b W 2 / f 0 I W y W / Q o P C C R + o 4 d G O q 1 o r T Q 0 O C Q B j O w S S B 2 9 m E t F L b c d 4 / X r i w D m o l C J u R S 6 R 7 P a + 2 7 e I t x Y S S N k K t Z M C z S F u 7 3 H A C S L E h d 5 o / Q X D A r 8 1 u 1 q i Q N X i 8 x Z W 2 3 6 Q 0 m y l u j 6 B H V z I j f v T d t a 4 W Q v X N 7 x a 5 e v e U z 8 n n Z C o S T A B 8 Y S x g I p m F w / R M e c E b a Z 6 a g + L V 7 h 5 / e / 4 3 7 9 h j z f u E c h 4 r E g n 6 i v 4 I O R k i F J A W F A f Q o 9 a W k 8 t T i h o g 2 Y i O j x 2 2 r 0 G J v X 5 2 3 G / c 2 L V + W J r N 2 6 3 n 2 b 9 l 6 7 I K t J Z 6 y h f D j 1 p 7 5 Q 2 k c 2 a s i d u b e c L 6 0 y L 5 D O O H 5 Z B c O p h Z w 1 7 f H k 9 Y e F f Q W 0 b P / E Z o X W 6 N d x M Z C v d z G p n U I X l F H o r R J / A 9 6 w N H A + i F C c M j E R H T K h j 5 H B o f 3 J m m l G a V N 3 r l 5 x S Y X p m 1 H K K O w k 1 c b Z T W K q D o 6 + y 0 n y b + a 2 Z J W L W s s Z D K I D h h D 9 a z 6 p 6 G / B U s l c E E v o B Y o q w 4 E V x / B Y J t i U P I + b G U L / j 4 y / z I X x a Q / c D I c 4 0 k 1 a Q m y I 5 H + L W l r Q j r k S v c g X g k R n s V k M p P C u 7 W S B E V U A o h V y k E + 8 6 q e p S + W F 2 N t F w r u q U a o M 5 7 E j 2 I 3 k i m W J T E V 0 f B 6 Z k e / k c u E q B j S s p W E k s g P 2 K K + V 3 V E T / s R F z W 9 M 3 z + s S M X D x w Y E 2 5 s S u L j n k 1 K e m 3 Z 4 W N H 7 e U 3 r k A e P q H l n S K o c k T S o V n O 2 o G D B y T x W S u y p c E I k p Z 4 x U X Y r O t n E R 4 S E M 7 F c U B I C o s R x R n O S M R 0 k f G G C G 3 s M K Q h W W l 2 B V s Y B E 9 Z p u s 6 O p I + 4 H g N 8 3 o P m p Q d F H E f M / l G 0 k o S 8 e u F k m J 1 e + n a g p U a 7 V Y X o T G n h m Q k J M i 1 t g i K + u g b r X E m 8 C X 8 e 8 z g G m a / P P D 1 e 4 q e 8 f 5 r 9 Z 1 n 6 B N t w I H m x D U P s / J 0 f y + / 6 2 D u K 5 P f l Z 2 6 Y X M r e R F n S I y m u u n a F k n s 9 F F c 6 T w / O B 5 q v e l y A O b 0 v W k 1 k o S 5 M L U A B O E + 3 O r D Q g H E v p F W m L z q r H 9 i 7 R M C j A G P i T C o R m s 6 4 S m R s b 3 K G o + c i N O 7 Q P / r H + i x d c F M t l x F o 7 M V D F E F 5 M Q o q 2 7 L G y u y U 1 M i e F 2 v l h F c O z Q 0 L g Y U 3 J f A 3 M g U b G W V p f x N 2 a a y L f R u p l + A v z i S P O 5 R / x C g w D G m F w j t 8 v V l 0 r K 4 6 u m w I O d H z N j P i 5 y J a B K S a Q b b 0 j T c f i c p 0 K b g J E S + q 3 a Q 6 x w 7 C F s J a K w m S / g w v x V s Z A 1 D g 0 R 8 p 3 g 9 D x u K f i O 9 w I 6 E c q d M i L I E N y u f V 9 e k X A S b w 2 G 2 5 p F K 0 V A Q F h U i O s K H O i y a F w O p I 0 A 4 P r Y a p B B Z U N d k Z N K w n o F e t 1 U S 0 a Y 0 j g Z e H M 0 m b E C k Y I 3 O r s X a u 9 2 2 8 t 2 2 1 Y i 1 p S U R r 6 C C C B 7 X p B O u X g b n M 4 g Q K 8 R U k T F Y F 8 7 N 5 y R 1 c m u 2 m S E X w I b 4 q + y M V p a 0 q 1 W I Y V M H 6 7 0 c d B 4 Z h s D L S L N E W 9 T 6 B v v 8 w N 2 N V 6 Y u j c b y g l R b z I 4 / d E 4 S j e Q c S A / Z D x o k B g p p B y x 0 A n W i 3 Y N q q h c w 8 z + 0 B B A m O L 5 v 4 U U q u i r 4 s l f 2 G Y / j v U L n Y a a / v z A P 5 M S m 9 7 C k g t W l R E i T O p h g T 2 A I R L J K l I t e Q y w f G y C Q a 5 B 7 G A t s K a D i 0 M i I X b t + T e d l a 4 j Z E E q + c T P z f L K N b t 6 + 5 Q I N 7 c L O 6 c T Q r Y n B U n 1 d v j k C 2 r k i b d a Q z T P Y 2 6 t 3 t 9 u a m O j m 5 J J l Z K T X d 2 V b r B U 0 b m I k J 7 y A 2 L z P 9 2 C z 9 5 l / k d Y Q E w K 9 M e q Z v H b G 0 v i x V g 2 C x U N Z 2 d V 9 I u w i K 0 q l p R n 3 U K j m G X s T o o P 1 9 V X r l S C o h W R O s A i z X h U d 7 n p 0 C X C M a H W W r t B H t B f h T J w g B R s f L + H 5 s + f s 9 J H j s p 1 k s 0 t 9 E H C Q z y + r D 1 N S A g W P 4 S N t A W 0 S M a k b V C c n d m + k 0 x d J M s N P X D h 7 k b 1 4 2 L k t K k x e l i Q a H O q S S m z Y m 1 e m b D c k u K R O Z O i Z c B W f 2 V H h + 7 n Z e T E e k I 1 9 Y w f V W Q 3 B x p x r D l Z g g t d x L q B d f O 9 V S U T S i 4 X x N Y p w i I q G I V n 7 Q i i N d 7 Y q 6 K 5 M N Z q D c A 6 y 6 r D / U W f P o K Q x i R T x K o n R Z L s V c g X r S r V a T M 9 k k p Z E M N 9 6 / Z I H 9 1 a L O W 8 g n e M 2 E z p W A + a w k v Y g q j 9 Q 7 m u d v Y / 3 F X 7 b P 1 T 2 M f P 3 L f e v R a A g x f Y c I c H t 3 1 O o p + u y l p q l D n 1 i 7 2 x Q D o f e F Y z K S l K W u U L 2 S V k a Q U Q V D d t r 1 U / Y S v i k z d U m b M U O 2 5 H 4 g g R M 3 D Z L e Z 8 n x K b F Y Q Q R o 6 F x C A k T 2 M H D h z Q u J V v d 3 J A g 7 b N 1 2 Z 9 E / I 8 I y h O M S / w f 7 y C 2 j X R n t 2 f u W X d f j + 4 V o y V i N q I x 7 + z o F p H G 7 d 3 r M 7 I H G 7 a 0 l J G N y O S x G q n x R A i S 4 1 D d j q i Q d t L / V A 8 / o c I V L l S k u S K C q S C e U A C a b V f X o c 1 Y V o L / k v 2 C e / v 6 r U 2 C c z O z Z H E 9 H x j M 0 v b 1 z X U 7 d u K 4 z S 3 M q a / 1 b P 3 H q l y C h X v U D t A P Q c H U C U H r U E / C A u 3 J + q k D I 2 P e R 4 x A Q j S U z W V U H 3 a X J F I F 7 6 q 0 X k H m C g 4 0 / W M Y g Y / M T D B / h X C j R a w i D q H O 2 V e X v W l D I u K m G A O X O B O j w D b 8 b h o J J 0 C 8 V f f u 3 J G U k J 0 l x v G d 1 v V A i B + 4 x m 4 b G J h o C B i D B W j s g o H f n l W v h C t V S L c k q Z Z I s t X k m J 7 R b e Q 4 7 + z q k Z E d 7 N E K 5 s f Y H R g e 9 g Y N y 2 i G u T C k c T o Q w 0 Z o U Z s k N Z t 5 N W L t V g 5 L d Y f I C i T i t Y o b + 2 T g Q b I H u Q 2 C A l H D C P + h m s k l r Y 4 f d v / + d f 4 + 1 f 0 H a r H 3 F W n e j d v W H V q x H p u 1 r s a M J P S u T U w c s q H h E W l g Q T 4 9 c 0 t E U R a z Z G z M 1 m o D t m k j t m G j t o 1 x X W M z b / I K S p O o n p 4 x S f A b r Z T N Z j 2 P H Z 5 Z k s S M q I 8 X 1 1 Z 8 A 4 C m Y D h M h J s e 2 3 Z E 2 m w r n / U J U b e F o A E J q b I E a 6 E g d F B m O Y j q k i V p a E M 2 s v o F b 4 t g P y J i X 5 C R L 1 4 D o k O E p 4 N z j A n R C E 1 S F k j 7 i B a d b k S B x m 4 f 7 E i J I w S o R k o v o u f Z 1 G F q e k 5 M F v I c I Q Q R k B o A U w P n G X t D Q Y u w L z C M q Q B G H h s J L y a 2 O A z F M h C m e N i t B T p D 0 e w K n r K p e Y s Y m E Q t T C H 1 C n H l B Z 3 P n J m Q 5 h J K i w g 9 O I J Q 3 Q V X q S O W s Q t X v Q j n V P j s Q x M X P R + b L m M n Q n I S l J k b 6 U z b y 1 c m 1 T j C c A J m G B k c s I K Y 4 8 K j 5 6 y s w e j t 6 f A w n + 5 + c b 9 U L P M q Y F u 2 X W w T D J m b m Z T q z 7 s z w n G 3 J H V 2 u + Q T r y 0 R N T D a 6 q 5 6 P F b s z 0 v Y P p i c g e j t 7 b P u r m 7 B h w 2 / n 6 F h o S J R G h o i n 0 C O C N + k + 0 b s f / x X X 7 M X 3 7 1 t 3 3 5 F k n w z S 1 U C R h P B P a i J 3 D W q 4 h 6 9 B w q u e h 9 6 d S y Q y X / l f z r E E v p H Z / G d c / o i S c r f w Y k f U n R d E I q k e g P q v 8 8 9 S O q g p i 2 2 s 3 L J n j 1 U t y O t U 5 Y s X f b 9 j 7 k f Q U P S T G L c Y G d g d z b 9 U b 9 r v 3 Q U v y 1 D v 8 X t I 4 Q k s B t i g m A Q k N j J a B g Y H f i z I a N e g y a k I P S h 8 d m V / d s p w d a a S v q q 3 Z 7 e H p u Z m d J Y y Q Z r j 1 t H d 5 e V J d R i E l T V Z p t 9 5 3 W N 8 a 6 0 i + 6 D 1 N B g 2 E b 3 C x W l r 7 y F + j + / c a g D X b p 7 R 1 L 4 p L M 4 d J M f w d 9 8 i K + E T A g / 2 7 H u T g l u 9 c H w 0 L B H O 6 z K r k N Y j E 9 M G L u E A P F I M O N R 6 m I + l q 7 w d P Z A Z r c T b H b W d B G g Q J 5 D 4 C U o j K r m C j m 1 X S h L d M w m D j j M o l G W w Q / Z 4 t K K 2 p D w k W q 0 s C S E M U V Y q J m C q j K y L E S k N t I I D x o E i M Z S X 6 v N M h Q F P 9 p b M W a l d F W p i i r Y 3 T 8 o q F C 1 P t z g G o B 0 Z 4 d s s H V p L 8 E / / Y 7 z o V j Y E G e v W X 9 X r 3 W 2 d 1 j / 3 o b U U T H Q h U c v e N q x 9 j a p W N E X E p E c 2 f Q r S T S A i U T + I t F Z U g / 3 j 4 2 M u h e R u D Y m e w m u Z e k 1 S y r + 6 T / / V 3 Z 7 f d d W S w l J L Y E F A h X F e N w P 7 H y w 4 O k j d o s C Q e 0 X o A i H L 4 k K + u f D C z 8 8 8 C N 1 / r 4 H T O e M p z 8 w h t X H e L Y C l v 6 w o g 5 S P 3 N v G G 2 7 K + g j J M D + t s B U 5 j q Y I D 0 w N u H L X k Z 6 B + 3 0 8 d N 7 9 7 5 X Q B H h W o s E X t W j F l p I 1 K I + X R e M W d 1 c U / 9 W h C p D d v K o 7 h V T s D 9 s b a d m X b I d + g W L 2 P i s Q 8 Y / k 5 8 B u t i S d M Y x J F Q g r U b 8 X k y I o B F q t a n Z N T V N L c J r p 3 5 9 r 0 d V + M M P m I e D 9 n G 8 1 0 m B D t J 3 J + W 9 4 / 7 v e / d L k I M y m E q o l D E P N I Y a J H w X H g M q O 4 s Y U i b D W + N t H q K E n U O u D b I f k b + j V Q I F z U z Q N D s b s u 0 q k 9 4 O L 8 U I 5 C f p l g B n 8 S d 5 F N k 1 h u U t x y d O 2 k e e / J j t F p n 3 K 9 h D p 8 a l E V X L B n F / U R e Q I d U N q I q T x Y N j f 9 R T M a 9 J 2 0 j L 6 C T J M M h l x 2 T g r Z k V G x g 6 4 P M c Z A W i y R j 6 R y Y G L d I s u d G 7 q Q 5 n I 6 5 e Q T f w q + 9 j S h / r f k L s o 5 K q 8 4 u L r o V Y X u 7 h 8 Z I q u G V J a A i E I 8 E G W / S z S r V P 6 h a O Z t V q m / 7 e z g m T I 2 n 1 b H e z 6 z y x V y w E W y n W 7 M / e u m X V a I c P a o v e g T E d l G B 4 9 6 H W g w z 0 P e U H / P Y D 7 / u L l L 3 b q Q d h T P z D M 7 R / f r 9 Q S 2 w o s u p 4 B + 5 u W 0 c 7 f R K S H d D h U h d I T E J S X N 3 x P d w + 2 X h I n 7 r P j 4 a N 1 d / R P b h 5 A 1 j K e Z J J k p c b X O J J I P V + P I A I L h b 6 4 V B i 0 2 V g d a W 4 4 5 E Q C 0 v E 7 k U t u 5 Z x 5 0 O x t u N R 7 O t r O R F t t + z a N r t 0 d U 7 j G p J A r j l a 2 L e X v G L e 7 x z 7 J 3 T s n + L w c + h k f T 7 I Q B 9 y w E 6 S R W o P w g Y I J + G b l O 0 z O u w 0 p 8 G X i U L 2 1 7 D q w 5 5 h S X 8 / U e P M u b F T B / Y k 0 T z E n j K P x F 3 s c I I n G R u L f i G J z W D f o J X y F f v c x 7 5 o T 5 x 7 y l 5 5 + V U b k k m 0 m l l 0 7 c b y E F K 9 h Z o x t Z X 6 q 9 0 S d r g G w o L N 4 e e f P H 2 R w F Q i x i O 6 A I 3 D 9 7 n 5 O V t Y 3 b L x I y x j 3 5 J N J M n W q D n h n 5 g Y s E O j A 5 7 Q Z G T s k C Q w H F q 3 d t k 2 T F a 2 S B N h 8 E I A v J R s n 7 i R i V g G d U F c 7 N e E 3 e X B i F R K z 2 b O C Z c v m o S I Z X D y y J i k g p 5 D v j y k 0 u v 3 Z u 2 l y / f s r W v z 9 v q t B X U l i / p E N u q U u r S A D 5 Y 3 9 P 3 l B z E G 9 s H + r 9 / v q g + 7 f 5 9 Z H y w f d h 1 n / D w H t C O t 6 8 c D 1 / I k X C h M e i I S u l N R a a J 2 S d 5 1 D X K v 6 o h 9 I 4 i 2 s W E n Z I C z E 4 Q g h f U W X 7 b O 4 k v W X 3 3 N R u p v C R b G 1 V e C K q I 6 x o Q l M g g 5 7 C X C e v B 6 b c o u A u A Q a V H a Z g P v t L v j E a h J 2 S Q 4 e N p l f z A W 7 R q H q s a t r O v L Z f Z O G t Z w t 9 t L L 7 + l 9 8 j m E Q E D 2 9 x M o q V w l H c L 7 W U c N O B + 8 F 0 H 5 1 r E E Q i N + + f 2 h e A H y n 7 / O n 3 x R c / U b Y 1 6 y Y a G u m 1 o o M + J W d U V H e E B J Z Y w 5 X T W 0 a U 2 i X m A + W g S h A f R G g T O o l X I c O X P 0 6 t x c P 3 M z 3 z Z 7 t y 8 6 3 N 9 X / j c j 1 k q 2 e P z f H / y z T + 3 J 5 5 6 0 q 5 e f 1 d N Y 4 l T s N h V v K p b C W J j o Y 5 a X q + J e W X T P 3 b 2 0 E X W t 9 A u F D C D v L a 6 6 i 7 W e D J t V 2 7 e s 6 I 6 z r G u p B Q Z Q Z 8 7 f 8 Z y m y v 2 6 c + + I I O x b t t S o e G w N B A x V m K k / n S v x a V + w a E s U W Y r F J I V g n f Z n 5 c G 0 0 E I F 5 Z o 4 I 0 h i T 3 x e j g z G E j c m j C I M 6 S M z t Z k X P 0 a s 3 / + v / y x 7 D A S 2 J M 3 r S p N B q O r a Z L + D J G r X n 1 6 r g d p K 7 e h 1 C b P q Q Y 0 4 c c H i l + r / 9 M 8 7 C e 3 o T 5 w D e X D G O X D y g e v u / + X n k s 9 + B 1 4 e d / r t 1 f 4 G c E C Z R L d Y L V t M V K b b N C c 4 J S g t 8 Y i L k E V Q 5 K q n 9 E + x O g R C c 6 6 N e x g G J x P 3 N 0 s 8 E y 2 B v m 7 S c o S k U a v d z 4 u b V + y k g k G 1 k R o 9 W 2 X + s O C 1 G z T i e S G c b E x 2 T y M n A 2 4 3 O m b T K 4 o R H L A l l f y 9 t o b N 2 S L N X z s w F d k X a V N 9 x n K W 4 2 Q o u 9 1 7 P 3 9 3 k G h x X s H L / C y 9 / v + M / w 0 T + E a / a 1 n o d y x a Q b 6 U h 6 o y j 5 c m A F p M V M s h n u c a R O N K T a U B M 6 g T B O 0 c F s 8 K c K P 2 9 G D x 0 W v J f u R L / 6 E B z C z T A Z b / t S p h 9 y j n N 3 C N z D k E S m T U 5 P u F d 0 V G p t b m P E F s 6 x 2 S L f r v R t F 1 S z i / R u R Q C D 4 O y E 0 E c I F j f c D b w W T Z 3 N S Z + w 0 D v x i C 9 C 4 d E C l z C p M X I Y N X 8 D W 2 x 9 s i n X z 5 k 0 b G R 0 X J t 2 W C u 6 3 V P e I 9 f c P W T g R k c G 8 a p N z d z 1 f A F K S T Z 8 7 Z a + R A Z S K k 1 0 J 6 E e v M S 8 W r K 0 K J B X 1 Y d 5 r W / b D 5 S t 3 7 e 1 3 r t m O m G t 6 h T 2 r h I / F S N v b m 2 4 c 7 w r X V 5 G 4 5 Y L b c N h c F L 5 T 9 o e K S b 0 P K / y O Z 6 m m Q d 0 / Y C p X 4 R x 8 Z z x 1 3 Q e P / f L D m O 3 + r y J U 7 F Q m O m n r h 2 k 4 C h H M G M 0 I B x A D G o d V q c B u o g D q k Z D s l + k g f R i a R e 8 n p R t O H Q Q S E 9 r A n Z I E F 5 o e 4 l g r 9 9 q r + c f s z d B P 2 6 3 W X 7 I 7 r b 8 s C S w N J c 0 + v z h v Z A 8 m W J a c G W w 6 M C 2 E g p e 0 L n u F M J 4 j Q i o r m Y K 9 f v m W 5 T Q I u 9 h O L a 1 S N k y r U G m E E u 4 i D r W Y p t E + 3 e t e I g 6 W d X C o x 6 V 2 d L 9 u x L 6 C g R 4 8 v M c Y x / 2 D 6 x g E B D 6 a P W R t 0 j j M R 3 k 8 o z Q 3 2 w T 1 C 6 7 B E I + c e c w + + c y n 7 I l T T 1 q 8 0 W q / / P O / Y b m N s j 1 8 6 n F 7 7 u l P S B C 0 W K q 9 W z Y i / d M h Y R u 3 k y f O 2 n P P f t w y m a x 9 / R t f t / G D Y 7 5 G 7 O T J w / b W 2 6 8 b + S V o F + F M 9 U p R C q D V I v W q + x e e u v C Y / e Z f + V V 7 9 J F z F v 7 k x y 9 c 9 M V 9 q q x n 2 4 m G R f C s N y K h H 5 O 1 / b a 8 v O 5 z R U A I B v H g Y K d V C r J t d p u 2 M D N v W 5 m M P X r + W U k 5 8 D j u y X Z r b e 8 Q Y + K K J P l I q x M R k 2 s s I c Y d 6 w k N 1 R H s s b u 9 N 6 i E p R S E Z N j Q 7 P V 3 L t m l y Q 2 7 e m / d 3 r 2 9 a K 9 f u m G v v n H d G t J 8 G P c Y g C h c R B b e P y w K 0 Z s X v D s B k W s w X L J x M t B i v v T i h 5 X 9 e / Y P l Q 8 l / T 2 G 2 L 8 M 6 L h / 7 s O K X + c / C y i I A D F s X S N B h P o h u B M p L M Y L R W x o p E c Q r e g J b p L x T g 1 q s H q X J e q F m h B E u s 3 d 6 P Q H 2 a N w 6 E T 1 k K j G s 1 Y s e 7 g O W Y E S 0 m r b 5 b h l Y u 9 3 Y v S V v 2 O F 4 r Y g v g z 1 X E 5 C L e Y a a 3 r p n t A J M C n h t B A K 4 9 r u s G 9 9 5 y 0 x t K R y S Y J L 7 X S N 9 G D Z / 9 M b q f 7 m E 9 i w z x f e A Q 8 c 9 w s X f d i P + 9 8 R e X q W G C n C i o L 2 i J 0 4 O u G e P u Y z C 9 K W j V C b T c 4 u S X u l 7 M d / 9 M f t 9 / 7 d v x d 8 T Q r O d t n B g 0 f s x o 3 b 9 s J n X l A 7 i 3 b n 7 q Q 9 + t h 5 e 1 c 0 x t J 4 n n 3 j 5 i 1 f c j S 3 M O v B t X / 8 p 9 8 Q r e 7 Y 3 X s 3 j c 0 R i P r f l m 2 F L d v f M 2 L H D p 3 2 u U F 2 g v k 7 f / N v C L F l 7 M J j F y x 8 4 f y x i y V 1 Y r 1 Z t a 1 8 s K A N H z u T s S R 4 f / T h R 0 Q o E Z u a m Z M t J M m q j j x 9 c M j Y n J m M O g S B E s R 5 7 L Q k n K Q F O d o O H 3 n I n n r m Y 0 Z q W k J A 2 t J d 7 t m r 1 9 k 6 J T C S q S B 2 F b u 9 D 0 j j o f 9 W t p v 2 L 3 / v O 3 Z j N m t L m 3 X b L I b c h d 8 M S 0 8 2 h O 0 j b A 4 Q 0 W B G R T R E W D N n o Z E S U Y a a E X U 7 o v K 9 4 t J M G s u d A K q 3 G 7 f 7 Y / W D i g Y J k r h / c M 8 P Y B T K f l T I v t b 5 M K 2 1 f y 5 g H a I D 2 O x N 3 6 U S a Y Y X X U K 9 c Q H F I o J 6 8 b p P U X R 2 9 H l 8 W o e g B S m u S d T C F j r C e / 5 O I u p b h C r o k 1 h b 3 O e U 8 F q x U z 2 Q u i X a a U t 2 f O 8 l Q T k a e k d Q K a U X 6 h 5 B R f I D k g O E 2 L 1 U M i Z 6 y F g k k d Z n z F 5 8 + Z L G L y p U I P g o Z i c v A 5 V + X 3 v 1 n 7 P Z X h v 2 T g T H g 9 8 Z p v v a S N e 5 P c X 3 D x 6 6 W M / n G / 8 L S 9 A k I k 3 r S r f a 2 N C g a 2 U c P R F p m 5 m F d b t 8 9 a 7 6 J G 8 P n X l E d v + q 2 0 / P P P u s 0 + k t M d R n P v 1 Z z 9 3 Y 3 d t t H Z 2 d Q j / v 2 q O P P m x 3 J 2 / b 9 O x d 3 T M n N B W x V K f s z n Z W M y R 1 7 6 Z 7 N 9 m K 6 S N P f V T C O 2 a / + A u / Z o X c j k 0 c P O j L T H 7 y S z 9 p X / / 6 H 0 h R H L D w M 0 + f v k h E N h m F G I R 4 S 9 R D V 2 J i L A I J + z V w Z A O 9 M T l n Z V E j i / 3 O H B 2 T M S g J K P X H 2 q h w t G b 5 j T X f R S K 7 s e 5 5 2 q Q Y p R Q a d v v W P T t 6 8 o x t r C y K m 0 v u l a H z N z f Z 3 V D E r o E h g 1 J Z g / X v / v R V Q a 6 0 V c Q w z I y 7 l 0 r X O q G q T x 3 f 4 + 9 X 5 9 Y E F + 6 f Q / P Q 8 c w J 0 P d 7 h M u 8 1 7 7 x 7 + 7 r v 6 C G 8 u v 5 f O D Q y e 8 9 H i h O W B w 6 v / 9 + y n t 1 2 e e Y 4 D t w j k g O Z t z 9 u 3 D v P h H i l H G W 3 i 3 a g W E Z x 8 L u b H B N C B V z f W T Z w d N J s s n N j Q 2 f W 2 J 3 i Z I Y l A D W s q A I u S c Y Q 9 K S E U n u a 5 x K R e t O b F t H Y 9 4 6 m k s 2 G F / X M 0 O 2 m W M j g J D v F t / Z 2 S V b o E P 1 S F i 6 a 0 R E t 2 S T 0 0 X b 1 d i X i 0 F Q M 9 M l 8 I G 6 M y j v a z M a 9 w E G 8 T Y F 7 Q o + u V e H z r v A 4 3 B K 0 P g x h r Q b O 5 i D l + k z u F 5 P V R + x 6 w h O s 5 G R Y f d E p z q 6 L b M t 0 + D a p M a f 9 A Y R M d T D n u O E y H K W / G 9 k 1 m R n 5 S V Y m 9 I 8 f 6 g + y d s r r 3 x H z 6 z 6 D o z 5 7 Q 3 1 V U j M R E 6 T V t v a z q g W C L S E L S 1 s q E / 6 r H 9 g 3 D 7 2 / M f s m 3 / + o m + K M D c / a z 1 9 4 8 Y G 3 S 9 + 5 y W b m Z 2 z r 3 3 t 6 x Z + / M K R i + y G g D u b Q M 6 K 7 C H C N J g F Z q 7 n 5 o 1 b n v F 0 o 1 S 3 9 b x 0 g G D h K W m o j n R C E C Q p h m r z u Q k i K 3 z n A t k / p G C + d e e 6 Z d a W P C Y w v 7 E k I S x b r L r j 3 h Y 8 h n Q Q 2 2 e S 8 k n Y x b Z 2 m v b 2 u z c F Z 8 I i G K Q u Y o w B C A r D A Y O h C f g M f h G D 6 L t / U 3 0 Z X w b W m Y t B j u i A g f Q s J q f x R P k A 7 Z f 7 R P D + Q g o x f t k / v O j L g + f u n 9 8 v v H O P e Y M / 9 6 k t + L 5 f L / 9 b d y M I e D + r l 5 2 G V P / A U b H 3 D A k M c t m d O 3 V E 0 D j n k f u k 6 2 K L F / L t E a v H I r m 4 N F B 3 b 4 8 H i M K I z O W 1 y Q 5 K R h O e q w 6 b j c 3 v I k I H n Y 0 F G 2 v b t J H k p o W 3 b w o O r n m y S d 9 E O x q 3 r q 5 e t 9 M i g t U x j c n a W s n u T a 6 6 b U W a t q Z + 2 0 8 I y X y d d z h F 9 Q 3 a z S H w T d v 2 e u l 7 / 6 n 1 9 I c z j I p / M i Y 8 L D j 8 U f c f r u I n J H z p H x 3 Y i A T r s j x k d m H V b t 2 W v R d O S n v E H Y 5 C V 1 V S 0 x U y t j g / Z b d F i 7 n c h m U 3 V y 0 t Y Z / N b 0 i T s 0 5 M J o i E F p t 8 A y s T Q l 0 o C Z x d K 2 K U 4 c E D 6 m s y I L X Y I w + f t / P n H r a 3 3 n z T R k e 6 7 d b U P f v W i 2 / Y 9 N y i z c 7 N + W p o 5 q P C n / v 8 M x d z h S B Q M N Y a t w 5 1 J k T P z H i 5 X L X 1 z W 1 L J F l R 2 m K 3 p a X a E h 0 2 2 B 2 X N O u W A b h h w / 3 d N j o 8 o e u k Z Q T f + v p k X 2 n w 1 i U V C H B l 2 U J r l E B M c k e Q j 6 0 i 4 h E T y X 7 Y 3 q n 6 r u 5 X 7 y 3 Z n 7 3 8 t i d c b 0 r K E I H O Y H x P y N A e Y f r g + X e d d 2 n / Q O d T + I 1 P S T P k X 0 P G + r 5 X z R l w / 3 o + f f D f X y S M f T j 9 P T y I z 7 2 y / 6 7 9 e t w / d I 5 3 f L D w G x q J z / c Y S u / 0 B X b U n X f w P W C o + 0 V 9 E N d P J w 6 P y r Y E 2 k h r C W 4 Q h k T a A O x W I B 8 5 7 k j c i A 2 F P d G T T t u o B G B S h E 8 W J + p F p A Q H a c h c u 8 n u Y q l 3 7 0 C / F X e A 4 d L y q i P r q W 7 c m n I t z u b d R I 2 v r m a d K V s 0 Z i x 8 x C 5 D d K m 6 a j B 1 5 w 1 8 8 L k 3 N t 5 7 7 2 e S 4 O + 9 c 9 z s Y 6 y D 7 / z 8 F y i g I w Q Q E R / b s h G 3 Z A + V q 9 I l 6 s u G 7 H k G j q X p q 8 s i 8 N U F Y 8 c W 9 q u q 1 P I y M W L W 0 9 P h d i i x q 3 g x 2 e W D N V n 4 D j q l w U m b 5 j v M F P T c M l l r C w 4 Z W Y / 1 8 N k z E l p F N b l u V 6 6 / I y 2 W t T v T q 7 a + u q X q q 9 2 i Z x Z n h p / / y M M X y Z v G Z F h a D 4 3 g o J A 0 x 1 V N r r 6 B / m F 1 6 q q H e 7 C N J 1 v S s N j t 0 D j 5 A Q p i b G L F y n o Z + 6 b O 6 j m t k g A 5 n 7 B l G 5 U t Z p 1 F A D k x T 6 y t 3 5 c t 3 F 3 Y s j / / z i v 2 + r W 7 d m 0 u a 4 u b J T V c x C V b r a 4 O I V S H h C T 7 B I i H D s / f v h e Q Q W O i 9 0 F I 6 A O 5 d / 3 + J 0 P r k d O S H E z g I V n 9 F 6 7 d L x / C U P f L g 9 d 9 o A S E 8 0 D R 3 2 z l q f / 7 c Z 9 x O c 9 7 9 + t G Q U u G V H e 9 O k g E Q / 1 Z 8 Y m 2 8 u H x v 1 t 2 Q 3 Z w q E s w p 2 j b 5 a b G o 8 v b U 8 H Z k N + 0 n X q Q Y b U p S F 4 i m l + w Z r i r x 9 b X 8 9 I k r R Y n 2 q G y 7 d 5 Q H B M F D X h Z Y 4 V + Z 0 0 P Y 0 a W J t 9 V M N K w x a 2 c 5 B y a a c c W 5 r d s b i Y j + 1 j 9 X h d q E O x y K P p g u x / 4 f v + 8 K 6 c 9 R n n f w f m 9 4 3 v K h 5 5 8 r / B s E S w 2 E Y 4 y j 0 j n U + K 6 g V N H Q i k k w Y K 3 2 P t W a K h W K Q j m p v T k X W n h q E 7 X 7 c D Y A Z 9 i 2 M y w T k y C p V w y 0 u A x r 4 Q X l Y 3 K 2 d S c F c h q t T R 1 z F 7 4 w h f s O y + + a F 0 S R q + 9 9 h 3 1 Q 0 N 0 P m l t Q n F L q z k x t B o M M 0 k A 8 c z w I + d P X M z l d 8 S x H e 6 C 7 B C c Y B 4 o y 3 4 5 k g g 3 r t 6 w A + N j o u p d a x e + J h f 3 U H + v H R z r t r Z o 0 y r b L b p + C 7 7 y l Z + e g E U P j 0 t C P v H k c 3 b t x l 1 3 T r x 9 f d p + 9 + s v 2 e W b M 3 Z d M C L P p G A L G 0 W z 4 A y I J 8 J H 4 k F k + u d 2 h v 5 0 G I V 2 g d D U s Y H 9 o Q F S x 0 G 0 n H P i p d M 5 v z + w F P 2 J z e F w D / v J / 3 2 g f A h D + T t 4 N n / w / L 1 3 / 7 A S p K G i G u + 9 h Z j C 7 y 3 6 X d f S t g d p i b k / 3 g N M 5 Q l A n K 5 0 1 E j j v L a 5 o T 5 Q v 4 r 5 o r q v q 6 P d C P 8 N S b o S X U 7 q 4 A N j o 7 q v x b b F K E R h R x N k S a 3 a 6 W P H J O C K N j k 3 K 0 g e 9 3 w d T G W Q i M X n 8 n T N l q R z r R 6 3 a 1 f n L b N e t u 0 s y 2 e C t t B 0 Q r b 2 + 9 7 r y E n a s P 9 9 r w Q 9 r H P e s A 8 e z m 1 7 n w 8 e Q X 8 9 2 G 9 c 5 S / m H O / U u 4 n c 8 P c h X L G l u c q 9 p B K Y B G K q I D R h Y B L o k A a B B J 2 J V g R C R P 1 z 0 I o S K N t q K y u E E 0 S j q x + 7 B H t H + o Z 0 W 8 P N E j Q W W W N J l / b 1 b / y h N a s N T 1 P d 3 c O W Q Q U r S k i V 1 B / z K z v S a k F 0 D v Q J v g i t r 2 9 5 a D p S H D c g K 2 W Z Y G V R F 9 l f x g + M q u O b 1 s q K x 9 0 t O 3 q k L / h b H F s S F 2 H 0 e s L + V q l Q F k M 2 Z U P F R E S R d v s X v / v H N r W w a R u F s L 1 2 e c 4 K z Y T t 1 K S F U N G h u F U b 6 i B B v L A 4 B / w J 4 z j s U Q W Z C 3 I P l g 6 + 0 9 k M 6 P 7 B s m V 3 Q u g T 7 e U u 6 / 2 B 1 e 8 c X M e O F I H j A s k V / O y F j u f 4 k I J G d C i p T + E t 7 y z e 7 3 X g N 1 3 D O e 7 n H f s F z R 6 8 Z 6 + u q s + D R H K / Q B R 7 h x e u E R E E C 9 U E Y Y B 3 + t p Q V 1 y / u 2 C h e L c n x 4 x G 6 7 5 c Z V Q w e 7 g j b c d G R + z w 2 J i l C T X S u + O y m y 5 f v + k w s E U Q n Q Q k t O W N 1 9 6 w u / f u i c m a x o 4 o 4 6 P D Y k w R Y p 0 g W t l i 1 a j s i 7 p l N 2 T n F i X T Z e K q N e q u q u r D f k k s F a e a H 9 5 f 7 y t A W R E 5 A j K A 7 J D Z g 8 c + E 7 1 3 7 P f t g + V 9 5 9 Q Z g d N G 5 3 n k A 9 f C T D A v 9 j 9 T D U 0 J C V I m s 6 J h q 1 C x 7 o F x M U F N S G t I d M u G A x 3 W m u 4 T 3 B 1 R 3 + x a h / q z R X 2 0 s D A r A d Z i S w u L n g Z v b O K A s c U t y 0 R G B v v 0 y l 3 Z S l M 2 N X 1 P u k u I S 0 y 5 v 3 W P K k Q N a I k O d W w y m f Z d 9 P r 7 + n 1 C F M 4 F l x P f x A Q a I U H E 2 z H R + / D p o 7 K P N m x x O W e d / e N 2 7 N w Z O 3 v + a X v x j a v 2 7 7 / 1 l u U t b a 9 c n b H / + X e + Y d 9 4 8 a r F e k / Z d y 9 N y Y i N 2 y c + 9 W k b P 3 R Y O L d F h r 8 U t u i V 2 e q K 4 K B a 4 5 0 F A T S q s h N U D y S 0 R z h 4 l Y O D i U u g B z P h d C Q r b r 0 8 0 M l O 5 H v P c c 3 E Q O j 6 w C + 4 V + g I 7 4 w P L / x C 9 D I T n f T R f u n q 6 / N O Z M 3 X B + + n L v u M z T V o O R h s n z C o F 2 3 y + 3 S K 8 5 z j G i S u r 3 B F i N A y E U h V q K B Y a d r 8 4 r Y Y K i W 7 J o j o X l l Z l g Q V T C 6 W b H Z m z p 9 z c H z c n Q k I w 8 o O k 8 B i B P 3 r 7 u y w c w + d t R P H T 1 m x F O y w s i n 7 V v L R 6 t W 6 B F P C X n r 9 n k 1 N F e z e j U W N i c Z B c B s B i 2 M I p p B l o s r u 9 f M P K S J 9 y Y T 3 D i L L 2 a g 7 O K r B J + d 0 a L T 3 j u 9 T 6 L f 9 v t S / O l C u x v g T r g Y B g y L 0 H A m g X b 0 L c 0 F S R 2 + g 7 6 T F W l q t E W n 1 7 w t L s x a P 6 7 p G x T Z k 4 r z y x t s S J i n b 2 N q 2 5 Y 0 N f C k g N 2 N X R l I B 3 L 5 9 2 z q J f o i z O Q J M 3 7 C l 5 U V P L r S 4 u C x m 0 v X E 8 1 G P P f K A G s L H H h q 7 2 N P R I d W o B 8 F M q j x J L f L l g n U K U z Y l x V i S 0 V R j 5 u b F v f 0 j k n K 7 N j m z a r 3 i e n Z p / + f / + h s 2 t Z K 3 L e H 8 N 9 + 5 Z r N s 8 l w V E 2 q A C a A l G v j w o U N 2 + u R x O 3 P m I X v z z T e k f B i s Q B L D 2 R 7 x q A / q x u 5 8 n o 8 A d 6 k G F o K D 8 A J G Q s r R h 8 T + 7 U W V 6 y E w I r Y X D 3 T N o u u 8 g f p 0 g u a 3 D y 1 O 2 e 8 d + h u 7 h m S c v / b r v 2 Y 3 b t 6 w J x 4 / 7 2 t k 2 B P q Z 7 / 8 Z Z u + d 9 s n B n O y D 6 k j G h K Y B r Q c H B q y 5 5 9 / 3 m Y m J + G g 9 5 E L 9 e B w G L s H + d B G r p W 9 I z g f D B 7 t Z V e H c D 1 q h S 3 Z R h P d G n z B v p a o e 6 p Y H l 6 Q Y R 6 O E 9 S 5 Y 7 2 9 P X Z X z M U k P a n c U u 2 t V h Z T E R r T k O 2 0 z N 5 a 6 s u J k R G r y b g m Z o 9 k j t f v L d l y t u n z S + 6 6 0 z W w E L Y J N E / c G 6 R C 9 X z K g f 7 l u 3 e n / + 9 9 h X u / x 4 b 6 Y N k 7 7 3 N w H B 9 y i b 9 w 7 7 N F w p x 5 M r 5 D A 0 E + C t 3 P J 3 + r v 3 x Z u z O Y f t H X p p g I m E q + w I 4 O t j j d c v s H J 8 Z 3 X 7 8 q q F a 2 4 e E h o b K 8 b + q w I x h H d i c 2 I y C e D 7 t 2 Y 2 3 F 8 6 W g U H L 5 b d v a E Y I j e o D N 1 m J p W 1 1 B w O l 9 Q L 6 a T k s 5 h M 8 + d v Q i + J C V t B p C r 6 T G 0 l b J n 5 1 k K U f U J i Y O 2 t L i o j R L 0 g q l X U v 3 j t h 3 X 7 1 q 7 1 y + b j d v 3 7 T t W q u v 7 K W E Z Q x L V A r n C 6 K I 0 N h l g S 0 o T 5 0 6 J c h Y s S 1 p t 6 t X r q g S Q Y J L 5 m F I o R W s C n 6 P 6 I I / / J G c D D p 2 r 5 P 5 R E P 5 e R W Y i d / 3 i Z U C k T p j 7 Y 0 L v 3 / o 8 S G F 2 M C P f f w T / n 7 f Z l / P f f i R c z 7 j z h 5 J J 4 4 d t i N H j m g Q K v Y T P / k T u v a j d u L k C X v 3 N T L w j H h b g a 8 w H 5 m b f u q n f t J e f + k 7 6 h z 1 s F 4 J M H D X s u r q y / P 1 z / M R 6 B N P n c 7 6 h D i Y H l t A Z q b 1 9 P d b Y Z v 8 H V k Z 2 2 J u w Z p V S c q 7 i c / Y 9 c p Z e 2 N t y K a q Q g + R 0 3 a y d d L f Q U p s 8 q O 3 d 3 R J K 2 1 a q 5 5 J w l A i M V p 1 / 0 4 l Z D d m l t y u 8 P V S g k w Q O O + E S G j 3 f n 9 S 8 Y C J H i z f 2 3 / O J D 5 w e 8 e H d 7 G X f f c 6 / 7 5 f 4 f 2 M t a e y U 1 + y 2 J D d Q q A f I m u C / t S n O w V E Q 7 r e t 2 1 t I X l l S L S 3 Z M O j 3 b I b M 5 4 r p T 3 V Z 1 P z m 2 p a x L e 4 x b O H 5 7 K 8 W 3 L T J a 8 + I w f H Y H + v x p 4 I f N 4 R C j b a 3 m V z t Z h P M y T a e m x x b V v P U R s k x D B L E O z h j 3 z 8 s Y u b k l 4 D g w N u r M Y E 9 7 a L O 5 Y t 5 H Q j G 2 E N + G Z q W 1 n 9 X W p a U S + + e n t S a h M V j C 1 T t 7 H h Y V 9 N y + p K O P V T n / m M J d Q J n / z E J + y V b 3 / b n n j y S f u D r 3 7 V 5 h c W 7 P L l S 1 b b k V E o v F + T R I f p 3 K k A g 6 g 4 Q + k T B n d p R H d D X A 0 c C y 5 6 v P s d K u l + C l o I m 4 q y z 3 R E I f t 3 C G H v t / e V v e s + v L T Y 7 P S U J 5 Z n N 5 L Z 2 R l B o h m 7 K 6 0 z P 6 P P 2 7 d s e m b W 5 2 R Y / F i U v Z k R b L h 1 6 5 Z s z g N 2 4 s Q J Y 9 d 7 l l G Q q 5 2 4 x Z d f f t n b F d R p r 6 3 + / 6 D N g a Q G + j X 0 X A T N P r G 4 / t b z 1 q y 3 u 8 1 K l Y L n 6 e s S o k j G E 4 J x D c u E x n R t w K R 4 S p O N J U v E p J 3 U B w g E Y D M P I d l + S h A Q d 7 E b 9 Y J D 6 x r z Z c F 3 X 3 P E / a o L k T L q 4 f e Y S S X Q / n t / U D 7 Y p x / o z 2 A c 9 o 7 3 / 6 R 7 0 X q I D 5 4 f H E C 3 + 5 f p 0 Y y v O M M 9 e + z U G B J h k W M E Y Q M q 8 O X o a E x d 7 B q d 6 u g W 2 o H B 5 9 W T 3 R O J i k 7 r 0 j 7 t E h a N q n X 1 j N q N 2 y u 6 K y b m y d v S 0 p o V y i V P K 0 Z 6 u + x W 1 p f A H x 2 f k K Y y T 2 W d k y 1 a 0 r i Q O T d I B j t u 7 w o e s 7 N m Q / C Q k D a 3 l 0 X D 4 Q t P n r i I J G f 1 J 8 R N A g t y Q + w K v y M 1 O 1 O d b u x O T 8 9 Y V 2 e f 5 U t Z m x G R 7 e y K y J l P k j T r 7 + z 0 T Z d x S O A A O H v q p A 0 J + h B p P j u / Y p / / / B f s n g j 0 K 7 / w i 3 b 7 7 j 1 j u Q j p x V D S D C C d h p Q A 2 j E Q d F M I y K F O D s v Q Y k G X L E 6 d f a + 4 F 0 6 d j m Y j / I n F h 2 q S a y W W o T g j 0 k j 0 P 4 P r A / x A 4 W 8 n 5 A + c 3 y v u Y t d B v n e I v C B 7 h Q l F 1 i J l 1 K 6 V Z R h t z m 7 d v G m X L 1 3 2 T 8 Y Q B n z 1 1 V d 9 G 5 t L 7 7 7 r 2 V e / + 9 3 v + v M o 3 j 7 V D y O b d t P Y o H p B f R 0 6 Q i A O C Q M o C D G T J Y p V q G R F i k Z b D J j O L h R 3 N t M a E / V T W 5 e u D Z h q 1 Q 7 b A W m p l K A f S x j 0 J G d S i D S b y 1 l + J 2 8 9 n b 2 2 w T h r D G d n 1 l Q f w X r k l d s E 9 E n Q 3 3 z z H v L / f b A 8 c J J G U J D Y O h 8 w y 9 7 d r r U e L M D x v d + d 8 H W m p a r L 9 I X h 4 h z t 1 t / Y f P Q V I V I s Q c F t j p 3 J v d Q T r c U Y 8 0 S C E Q I t G z C s y w O 2 m 4 k S 0 d P q t N G w V l t Y l v C X / c O a P Q Q W O U h Y k C h y 9 6 D w t m T Y H j 1 x 2 t g y q C j h w w Z / K y t L + g 2 K j Z j 0 j / p O 7 4 X + p d m 9 1 1 R X T 9 L y I 1 / 6 6 M W S J C w z 9 a R V Y k k w S y 0 K Z b J r 1 n 0 Z e n W H L K e t a l y L d f Z 2 2 M S R w 9 J S M + 4 q x 9 B M e W I L q T 8 N J u W 2 J P i d m 9 d t a 2 1 B t l n a 4 5 0 O C i K N j 5 + 0 k 7 K h E F A / 9 q U v i h A v o V 7 U O C o a F I h K F C w 1 q v p o k N U H 6 u A A v i E F X B L o O 3 1 O 8 f k p N c Z h g X o Q F 7 w q r u 7 V F d R H 1 / s z P 1 g 4 9 y H n O f M A K Q T F r + U s B K u v 1 A 8 p G P z 6 A w v 6 N t C s u l o H 9 z i j e A 0 h G j 1 V z y Z L D 4 Q R V E m / 8 B 5 s R N 4 D x N E z d j R O w w M 9 + r l s H S n S e 7 V L w 4 Q s U x T E T g / o H t o b H A u 7 h + 1 s 7 7 J P g T C O B Q k D I l / I X 9 j d R 6 6 E r P d v T W 2 a X d x y Q z y o F + / W I c a 4 3 / 7 9 8 o N O 7 P c l H 8 4 R + 4 c T y f s O 2 M 3 L f V s L D a N P / 8 8 f o M + g D w j Y h U d I u A l D u f c Q j a C 6 w l C k U q O + 7 s n l E z S D d 0 E s R q o 1 A n y 7 e p N 2 c H R Q m n 1 b 1 7 b b 4 j J Z Z Q X l f V y k V Z i w r u l + v T M e h z m K d q B 3 S L Z o z N Z X 1 6 y x 2 2 K Z 3 I a 4 L W F r m Z r N L u x o 0 N p U S 1 W s L B t V d c f E w N Y L n 3 / 8 2 M V W M d L y 2 r o e j n p E I 4 A p K w 4 X S O K f 3 c x 6 U o v O n r R 1 t q f t 0 O i E v f r y a z L w V C f p 2 s 1 s g f r r B a q S W g 8 B 4 3 D Y k e b I a y D J 6 L q 6 u m D T k 1 e t I k m / s r z m a c X m V x a s J o I h b i + k x t F Z L I x j W X 5 f n y S H j G 0 W j m E g M 9 T U z z W T m M e J d G 8 Q / Z y + o u G A N 2 g s i I P 1 W P 6 7 / n 1 o 2 S e C D x S u 3 j / e K 8 E Z 7 C v / 1 L 3 B 0 L 9 3 f O h b P v g K 7 n M p G n w P T n E u + N O F g t 7 h j K Z + c W n r D 2 e e o 8 W 6 U g m r V 7 K + Q T N Q J C Q s v 7 r d b v X S l k V l H / i z d P h G B 0 j p / B 1 3 3 n R 1 d r m D K E F 4 T q 2 q Z w W e 2 1 h r 0 m 5 P r R o r s Y P a A D V x 9 v g f w a v 3 v 3 y w U G H O v + + 3 D + 2 F 9 x X q 5 8 z k 1 w b X g y k o + w z F f 8 Q Z 4 s q G J s j t s C 3 t K t L 1 a 5 h o 5 j H k 9 P O + 4 1 9 E Q s D P c w g t y V a M C v L F 4 i 0 S + l E r S e j X G 2 K K j b K u S 0 g w I 3 h x C O s B a O h m T c o k Y g n R f U e C F A 1 N y 2 x u W a 5 U t R 3 R Z i Y v Z l o u q Y e S 6 t s W 0 S Z Z a t B y u l 1 1 F A c T U C 6 I p D 9 I d s k + u w w o D W Y i j D U 5 z E u R T e b Y 8 a O q H B 2 9 a 2 2 C H 6 c P H 7 C 0 7 8 T O O T V S 1 y M Y U N M Y r + R z C M W T F i O a O d 5 m O 7 W Y z Q u r v / 7 G K z Y 3 d c e m r l y z U C 0 e S J Z 6 4 K L 3 D Y P V Y V E 1 5 M s / 9 Q X 7 z C c e s y c v n B R B B B O e D g / d 2 b D H T L x r b + Q h Q g r M R N 5 u C k v n y Y b z o Y X 7 H y w 8 Z / / Y / 3 u / + K X 8 p n f o 4 C f e 9 s H j Q w s 4 g k f 5 4 z T o / i f A i p 9 E G i I a Q p 1 g M u A M f / j S D j E B N q L E g 4 W 5 T t / Y B W V e h n A k n j Y 2 h V j K b V l H b I U H e 2 H b o V C 8 / f 5 x t 3 r G V 5 H 2 d X f 5 F A L P 2 7 W K o O o 9 2 8 i v C y b K X t 7 O q X / V J q S j 9 J U 6 V 5 0 Y 9 L U f w a P / o x Y 0 M X 3 4 4 B E U E X b Q 2 V 5 c A 4 n o g W 7 p F A 4 y f d H F 9 C F I B Q d F M I 5 7 9 9 x / k O q v / / M n 7 v + W R s Q W Z 1 d 1 X 9 j W V t Y s E g o 2 u f D n q J 9 5 A W N R r e k 5 o a T F E z 2 2 V Y 3 Y 5 G r W S i C o W N g K 1 Y Y t r h c 8 P A 7 y I 9 q + v k u y H D 1 f z I 7 p o Z M W P v n w + E X S h 6 U F 7 c C U J R l m v X 0 9 t i 1 m w l 1 4 5 N B h Y f W E b 7 C W 6 m x 1 O L W 2 s u z u Y b x 8 L c L m f e m I H R z u c R w a U S 2 P j S T t I T F c N p u x s a F u a 5 R y I g r W 7 M Q k Y U N 2 7 F i f / c w X H 7 P u o W G 7 O 7 X g 2 q k K p J M R z / p / s t B e e u u a B p 7 A w 1 V B w i B 0 J I A k N D 7 o R + / G P c Z y P K 1 n 0 O l 8 B q 5 o C Q c R 7 H 9 w 2 W e 6 v Q / K / a / 7 v / 0 H F F + R 6 w 3 Q A b V Q 1 A c I M 9 e 8 K t R / f 7 r A A 3 x V s K W Y h 7 n w y E l b X Z m 1 i P q K / Y 6 S q X 4 r N d I W 7 R j W I 9 9 f r 4 f a b r o d i C M D a E 2 4 D S g k 3 h q z X L 5 g H R 3 d N r e 6 J e F Z 1 b u A l t Q B D R r U 4 / 7 z 3 v / Y 7 1 8 + 8 P 4 P L X t O C T + w u S S B 9 5 r o 9 z O G 7 m j Q 2 E V F z K z J w r Z n 1 x W W E n k 8 n 6 5 j r l K V 9 b H n H 4 / z q B p d E 0 A + t U G 2 m S j C u j v a L B G N 2 + p 6 0 a p N 0 b H e E R W 6 o p U s + c d u x V 7 L S k i R a H N 2 M S t b c 8 t 6 W D W t / k u 0 d t m 0 z l X q Q T 4 K W N Y j f P Q c 1 6 R i K h g 0 P H p 6 4 G K b Y B 0 7 K 5 C s g p 0 t 0 E w w V K c M 3 / n Z W a n a v D B 4 z m 7 c v G b t r S Q E D I I z P / m p T / q 2 o C 8 8 f d o m u h N 2 7 t i 4 X T h 3 0 s q S f o e 6 h V u H O 2 2 g P W o n x w b s Z 7 / 0 a T s x 0 W 1 P n j 5 s H 7 t w z i r b G b t y h 7 w V L P E m g 4 0 a z i y 3 G I e E m M V C S Q w u B h H W Z d 1 U o y 4 1 r Z Y 0 G o I r q j x N o k C A E B 1 B k R 4 C s j e g S B y / x l s f n P v f X P b v e + B 2 J K N r y 7 2 / f 2 C 5 L z H 3 y t 7 f 2 E b + b J 6 1 x 1 D M 4 t d E I K x U r m k c 1 C g n E A Z r n 6 G 8 O T o O D P f K n l j 3 1 c X E W z 5 6 K G F 3 M w M f y l C D O y / p u U E 2 K 8 / + S 5 a g V J u O p G x g 4 H P E x 6 B e I x 4 N O 0 4 3 Q f B 7 D H W / z h 9 4 7 v c t f 5 H r u M a J X c / 2 Q 2 N 4 v 5 P R j v Q L X Q C x m s 8 J g p Q 8 q F d w j n G m X j 7 / g 4 b g L p 5 5 n 6 E C w c B y j R Z p k k R L z Y Z 7 U t b e 1 W + 3 Z 9 f F B K 1 G c s 1 g f R 7 v 0 3 1 6 E f 3 P t j o l C R e 2 A d 3 d z d r A o N B V Y U f 9 N 2 h 3 Z t Y F I G S e U F s J A j y l M L M X m q N n h Y + c m r h I g G V V K n 9 s b M S N V 9 y 8 K T E T q 2 q X l 5 Y 8 0 N V 3 G N A A k M y D / H w D A 3 2 + p J 2 9 c 2 a n b 9 q z F x 6 2 9 r i Q + W 7 R N 7 k + e e y E t Q n v j 4 0 O W 3 E 7 a 4 K m V s l v + 7 4 + Z N 3 p H x y x b 7 5 2 2 V Y z k p i V v C o U N E y 1 t F 3 Z V 2 q t O q 0 m E I L W I X W c G i w D F A J j 6 0 V g J g 1 w q U 7 n q m 4 O / / i u x z g 8 2 G s s 1 / k 3 / v f B 4 w c V X u y F J 7 7 3 4 Y X f v M J 7 3 y n 7 f + + X D / 5 O c U a B S Y L 6 8 x t t 8 n q r z c S r M Q U Q t E v X 6 / c g 2 o P r R F 3 q F u y B d E r a S g C O P B B M x u d 3 e 6 2 W H A + e + U A Z q b 7 q a 5 z I G M X u j j g 5 2 L L F t 8 E R h M f T N 7 / A d j M R K 5 f Y + k M v F U G / r 2 / 0 T O / B 9 z / 6 f Y W f u H W / e J / v H d 9 b P t B P K n 6 v 3 h u w h / 7 W 2 O E 1 o 4 6 J 1 r g v J i R f v U 8 0 6 z q f U q G f Z G P 5 9 b w H 2 0 l 2 R x D Z I f i l U w n R T W d r 2 M a H B 6 w k B l h c y Y p + o n o O 9 h l a E O G h e m K y w I i i K 1 d 8 L V F L t l Z F y y 1 i s j 6 7 d W 9 V t p R 4 o I m G k o a U B s T 2 Q j Y i A H x q Q i X 0 c z / 7 K 4 J z L C z r 9 I V Y J P / P Z 6 W R i k U N w J J 7 0 f g N J w M Z d U i F v L C w 6 I v e S I H c E W + K e Y 7 b n e l Z q c R V 3 w Q M i b K 8 u m y 5 3 K Y Y M G c j I 3 1 6 e c U O H R 5 V 5 4 R 0 D U G O M D U S M V i F q y / W q M h m E z R h 5 7 8 w L v h 6 1 M K S n K z 5 r 5 T I T y c j X Z V H 7 U N w l P 1 B 8 3 m b 4 I S f D 9 j q A 8 U H L f j 6 F y p Q t F M 1 5 U M I h O 8 f 9 v e D 5 3 5 I c b e + i k t j 5 u T 0 P v J A e O Q H / 8 R M n u h + X 2 B o 0 O d m l w S N k 7 I V y Z W X 8 9 W 6 z w 3 f 9 e d 8 s J B P g p x 0 5 I 8 g 2 e j G 1 q b s 6 G C K g v 2 3 C N 7 d r Y o 5 B f f 5 7 l W X D U v v c k D o P m n J q 3 / A 8 c F + 9 V O q r 9 f 5 L 1 J g p r 1 r 9 z + 9 K u K K Q j E v O i K f O Q Q f r I Y g x p O x Y I I X p 1 V w P b A L u K c 7 g Y E h c p k H Q b 1 s 4 j 1 1 b 0 q n R S s S y N g + X O P r A C W l i E K X r N I n Y 8 w U Q t O d O a V S x F 5 9 a 8 q W M z g f R K t i q E C D w 0 x C R v T Z 3 t h w h H / 7 f / 9 b F 9 m M b H 5 h 0 s M 7 + v t 6 j R 3 I d 2 Q P s T 3 9 x I E D r j U 8 l 5 l u 5 A E w G c 4 B t h A l / R f z V C k c U o J t 4 X i b Y 9 K t b N H 6 9 C w 2 s S Z 7 E e 5 P 3 3 S t I + U h 8 y 3 N h N 2 c 3 7 I V X Y c x X J O G R F o E Y S W C e G o v z / H O k f Z C z c J Q + l k V p 6 t 1 l T q H u l D c 2 + P q H o m O / t W 9 T h 0 f K B 9 2 7 o c V v y W 4 j w E R N W r 8 / w L P + c A 1 z o x O L K o n s E E D 5 p p H b W A O x o 1 s / U K W I j o g c I N r 8 L h a 3 4 k O J 4 o B e D w 0 2 G v N S k m E V f W p j u 5 U 2 n q 2 X 7 K h 6 u v W t v r H d q 5 j y o Y r r 1 p e K I O c H p 7 g p a T x I W F O M q X H 1 4 w d 2 p e W S r a x W r V i P m 9 s R U T X 0 V T P D 7 h f q P c + t P l h 5 S 9 y 2 Y f 0 X Y A w M S Y C Z n I o p f / Q U O y 4 4 m 5 8 C V L S l j n s 1 m V o M b 9 a d I K H G X s Z m 9 4 / n c t x W t S l Z R K e O m B l f c O y 2 + R 4 D H K 9 Y z c B D g C O v i u I + h i b i L Z T j 3 R H Q q Z Q T T C 5 3 U r N u M + N U k N q 3 9 R z o c F 9 O 4 5 C B t r Q x s q K Z y O t y G 6 h Q e Q s Z z c H p B e F f M 8 k a o G Y y d K p t 1 u 5 Q t p l Y U m p S R p c 2 F q 3 / P a O h V v b P W g z q g e z q 2 B R B l 5 7 o s 0 r S o r k m z f v S L o u C v / v 2 N x K x m 5 P L k k q V N x l C 8 H g P v G O 2 u t w 5 3 p e q I 4 B 5 t V E Q F K K F t P v e L / o R L c 9 Y F A x 0 7 6 n 7 w c W C F r H 9 w 7 p D y / 7 9 f r / p f g z / D k M e C A U 0 K 7 A W b 5 D L A i r / a D f Q F r v T W d I i m L E N y U l 7 9 5 j o r H D E / a z O w f p s 7 q 7 O 8 U s S Y f s L B I l T T Y 5 5 9 j d v a u 3 x 0 L S a L Q d S R + V b V q t R u z 2 3 V X L k 7 N P 9 / G O o F r q d 1 V R c s w / / f D a / P + 7 M H 4 6 h I Y 8 C k Z C h Q 3 N 2 p K d O o 9 9 v S c s G U K / P u h P 7 1 N X G j A S Z x u C b d I 8 e g 4 y m U 3 f 2 A q p U N p x 0 y H d 3 u Z 9 H F z L k / R M E Z 6 v + h Z n B 2 3 X u E g j b W Q b V t V 7 c b a x u N A 5 3 7 k / u M / D 3 h C O + j / / C y f b m h d H R k b t 6 o 2 3 n O O 7 u r q E 4 e u W V Q V Y V k 1 M 2 c b y q r s t 2 5 J t G v h g 5 z w e E h P j e d S 3 O J T c f p t 5 X S 8 p x y 4 J 8 D g T k Y Q z M W c Q l / Y r 5 s q S F E n f a X y t 2 L B L t w g B q Y h D V T 1 U s x o R q M 6 9 2 u 2 V F m 9 A z d + D X U W C T L 1 e R B e W N B c z S f U y 0 4 + G 8 8 O J k e f Q + O A 5 7 z 0 t K D 4 Q e 9 9 / a P E L 9 6 6 m c n v P / L 7 l g W v u D / j e d 2 c Q J J n 6 O v B A B s R L 0 n u M 7 Q e F A r C D f u R u Y v z c j S 4 h h g A i 3 o z d + d j i Z 2 t T A i 2 7 L a Q Q s 4 M H J n y M c v m s 5 b b z H v q U l + 2 6 u L D g S + h B C A R C b w k q L q 1 s 2 / x i k O e D m E P q D W n 4 V I Y + e e + D / e T D o r L f n g 8 t P + A n 6 A B 6 c m 8 s 3 f D A s Y f a a L R / A N O A o A i L z p 5 u t 6 E 8 0 s H 7 A O i n u t J / 1 E V H C E m r d n A 3 K 5 r j C c w C + r 5 u n T h h 2 m N W r p W 8 7 w i Q h Q + g F e 7 g H s b A n 6 W C F t L N x q Y J z P 7 5 8 3 0 c + H 1 / T A I h R 5 9 h P 9 0 X h E 8 / e f z i 0 v K S J B S L z d R Q V R J V 2 B B 2 h Q m W 5 h Z s Y m R M m q H F B o b 6 V V H Z U W x S J U Z J q M H E s a V l 9 B Y 1 a F X h 2 k R r 0 r 1 F 7 Y I g E P T A I B G 9 W S u L C V p j I o C 4 W W f X g F 2 a W r H F j Y K u L V t d a h V J Q o G I v O w 1 j u K d p 7 + J 5 K C T m O T b j 9 2 j g 9 k j y Q 1 D N Q h i Q l I 5 4 e r 9 3 k / A S N e 4 e o l O e 8 f w s z 9 h r z z w v u 8 p / l P w + w + 4 6 v 1 l 7 3 n 7 1 9 9 n J r 5 T P / 3 z p S n q Z 5 e I 0 v 6 4 h r k O Y n K b U O e 5 3 + G P r v f / S 7 h A a E L 4 s n k 3 p a G S l k 6 n r F u M U 1 A / D / T 0 S m B l P Y K a O Z b + 3 j 7 1 V 9 w 3 f 6 j r O e 3 p X n c S k W 9 j M 1 8 V D G L x k 0 h K D 2 d / J m c W 1 w L 6 V H V h M N 5 L c a J T 2 W c o P v 3 Y + w 7 8 Z h g B q W g X y B U 0 w c O Z W H 7 4 3 D l b n G d n Q 4 3 F 3 j P u F / 3 p Z / b 6 i L G k A s Q j s h e z a y z G T H X j j f T l v h Y P 7 C H s Q Q Q q k R V R a V 9 s J 6 5 t S m N 3 W T I d s d 6 B b p k e S d t Y J 2 G L b B S I T n Q R P J E K Y L t T j + C + o J 1 B P Y N v w R h Q + I k x c u c G f 6 g + x G 6 G P / u J J y 8 u r S 1 a t B W D u M U D B L d y W c 8 a y r J g s b S l W 9 u E Q 5 N i j n 7 X S q s r q z Y 6 S q 4 D K c V Y 3 B d p 0 Q C k 3 K 7 G g o 0 E W J 6 R E l P h j s Q z C D n D f P F o 3 S K C h q 9 f k 8 T M F P U M w T i n K A a R H g u k 5 P t t F P 0 t h s Y L Q 0 4 E t m p h s z G u Z V 0 S A 8 l d J M t 0 T O s l e N Z e V z m R e n d w b u / Z 7 3 v F X r l P I H u H 4 3 W P I + Q N X h N / 9 I f e / G D Z f 4 f / / w M F K S z i D k m z 1 g R l 4 R e Y a 5 / h G C j a B M T D i 4 V g 8 u U L e j H a 2 e G t 7 A D c w y w i 7 O p M C R o V h G 1 q Q g F 5 b 0 N n b 5 f u a 7 H M T p u 9 2 v L T N l 0 / Y + v x J 2 y u 8 Z C N N d 8 R k R Y s V 6 p b Z g t C F X t r L F 0 A q S 7 c 5 0 t j q i w s V D 9 T P 3 o P C Q w R q n 7 j 4 + N 2 7 u x Z D x b + O 3 / 3 7 9 r g w I A t i F l O n j h h j z z 2 m D 3 1 1 F P u p v / p r 3 z F 1 t b W 7 C s / 9 3 O e R n p a 1 w e t / E D R O 7 y v 9 v q A N q i X n E n c 8 y n 7 0 h d 6 Y h b o N 3 f i I P x F N 5 C P p x H Y i y x x f Q L j 6 T z V 7 e q M W y x R t U 4 J l U w m Z 4 X t m u h 1 j y G l s b C b n N 7 8 4 O 2 M d P D n 3 g n / f 8 B Q / B 8 a Y r y 4 E r r E y y f t G 5 N A S c Z T 1 p u S l G t r 9 1 g p g k D 1 6 9 6 e q 2 W P F 0 P t j o + P u R Z i j o o d 7 3 b V + b m d g o W l c t j 3 V q 0 L 1 H e j Y o v S a u S c o 8 J 4 m I 6 d O O W x g N 2 C G p F Y m x V q I d k A i + o k S Q f h 2 o a M 7 P 0 C U U F A I T E n B z m j / d B 5 9 0 4 1 N a h R E r k A C Q K v G I s O a R R b k 1 L X A N f S O U F n U O 5 D q Q f O f V g J 3 h 8 c + 3 9 T a J t T A r 9 R L z / 7 / s K E o B 8 Y 0 H v f k d T 7 x z 6 8 c f y u T x w F s l p V d 4 g 2 7 H N F k E O r h F Y D D c M z f e D U N r a L 0 e B z X 1 N M F W 3 q d / V T p Q w E T F s i 0 W W I r U Y 8 Y W M T h 6 x f G i E Z b 7 P t g i A x Y 6 M D C U z 7 w x q v + e W M t J j a I a Z G S P k 2 Q R q H x y 4 8 Z n / 7 7 / 0 9 6 + j q t K c + 8 h E b H h u 1 M S L o z 5 z x P v 4 5 M c a v / f q v 2 w s v v C D k s e U C j U T 8 o 2 N j 9 l t / / a / b 0 8 8 + a 4 + d P y 9 y C N v Q 8 L C n i + v p J T e 7 m D u T U Z 0 h y h 9 e X L D t H d A D f e Z D o b / 3 f 9 8 f p 4 D B 6 D m 0 G n B V f e b t 5 X 7 Z T F 0 p X 9 p e b w g m S 3 E 8 c v a w 0 M C u h J A E B v 9 4 r p d A N z 0 4 K / b + w l n u Y G Q C J 5 H P E 9 J 3 8 S A n Y v i 5 Z x + + O D 5 x w I h O S K g S 2 y L K j W z G + t Q J R C g P y q B F I v W k u 1 y i o o J J D X z j 5 k 0 n 3 k 1 p s / J 2 w a K C g Z u C H B U Z g A V p t k x m 3 Z 0 X u N z Z F o X V l k l h / J C O / + H f / q l t Z t V A M t W Y I J o I 0 C W N 9 1 j Q W Q 9 + U v j q N l F A e 6 q S p G g 0 S J Y J s Q S e v U B y e b B i I G R 0 H g o M O v 1 7 h 1 J / f / D U h 5 S g A / d 7 f W 8 Q p V a 4 9 c H b A w Y I j u C 6 Q J p + s O g X n d e g a + i Q j F S R 6 + g D Q m 3 2 N R M N x W X u 2 m v v X u 5 D o / F U B A o E Q J s H h 9 o F x y E y t r k k X 4 R s 3 J a o L W 8 n b a v 1 / Q k u Q / P f k D A s u S 1 R k i 1 L + w j R w l M 6 c e i w H R B D E j X / 9 D P P u A D 9 A o l K v v M d n / h 8 9 r n n / B n f / v a 3 7 e 7 d u y L S h p 0 V s 0 1 N T f k 6 N 3 Z y f + m l l + z y u + 8 6 h D 0 g Z v z 9 r 3 7 V 3 n j z T V 9 T h + Z l Q v l 7 C g 3 a G 3 / K v v e W 6 A 4 0 E G u g s D H 3 I V 8 w n t y i / 7 u 2 1 0 H o l v r M P X V + D b A 6 b L 2 9 K Q m M p r X h g d b 9 / f 2 D d u / e g q 5 o 1 a F R 0 H W M Q 4 C K X O f o H / R E D f x / / v / g g G l 5 u q 5 h L i G C 4 0 P 3 M C 5 6 V / h T n 3 r y Y i L d 6 V B v t 1 S y v o 4 O / R g O E v Q L j 7 K R L x i R Q E I 2 Q V t Z X T X 2 k p p U B 6 K p y N D Z L m Y a H h 6 z u z o X o X F R v V S q G h u L b K Q V P b u m 5 8 X T w v H h t P 3 e N 9 9 W v S M B X k W b 1 O N q D F r l e w s d 5 n B N n 6 6 R d A 7 C I 3 A R h w T E G W + l Y 9 R c X c N v N B z m 4 X C C h r v 4 5 O Y H C + e 4 + I c V R v T + z c E n 8 y P U K y g B q 7 q n 8 o E S M B P E w z 3 v H d Q M j x K D D T 3 Q L p g k Y C g w v Q x e / R B o F R j u g T 4 A 7 v l T g / P c y 2 7 s x 4 + O W L V R t G w m q 7 4 J t m N t y N 7 K 7 1 Q s k z i r O 9 4 r I / X r V t h t s Y 6 e Q d / G k + s h I J g 5 2 Z 6 2 Y d n M 1 6 5 e d W H I U n A W T H 7 z T / 7 E m Q d G Y V k K a 4 m Y 2 2 r o e O 3 1 1 2 1 2 c t L m x D A r y z I V y D c v 1 A D U u / z O O x 5 W R v Q H 0 y A e 8 / Z h 5 c E u V n H H h d r K 5 g d x M j v R N 0 w r 6 N O d N T 5 2 6 k n 6 S c I D m i M T E s W Z T Y I d + U t 8 Z C L e 4 t E + b O 5 H G B a J g Z a X 2 J h P j B B m H k r / X B r S x 3 q O 6 N 8 9 e n v E E f y f T / 2 G l 5 U T G r + W l p o 7 U 6 T j n U d g 6 P D n P v v 0 x c u 3 7 t i h w 4 f t h i Q M m W C p S Z s g I L F K J K D v H + j 3 W X Y M f t y x e P z 6 + v r c I 8 j y g I Q 0 R a K N T a 3 L 1 i Y i Y E + j Z C t 7 k 4 Z s a X 5 O A 7 X r U d L 5 S s j + + 3 / 9 R 0 Z O d I f s / B O M k X i k V t 9 T A o I M P i E o D y f y x l B F S X E 9 n w b h T v f I C Q 2 A 5 6 I Q k f n A 7 d 3 v D K W b w N k B Z g J q 8 f b 9 o u v 2 L v 2 w 4 s x 6 / + q 9 T 7 3 f N S a H n 9 P z q N / e 9 / c O Z v S 5 J j g A F P c f p 3 o 5 M a i e + 0 6 I Q O u o a F C J p a Q 9 / r v a E / R H I C i 4 n e u c 0 f x y p h Z K 0 i J V z 1 O + t r l i C 5 t r G s 8 W q z V j 1 h P O W N r W L d V c t 6 2 l m 3 Z r Z t W W 1 7 Z 0 f 6 v u b z r k I 3 / h + n r G 3 n r j T Y f q 1 8 U 4 I J L X x T B O 0 P r u r d J 3 x t r H B d i j T y a G + X F / T R M f 2 D v U G + T r b f X 6 v 7 9 w j o P n B v 8 L C u 3 a H 3 O S B f k c D 7 / z j D 2 G 4 k + e T U Q F y I d 3 7 v d Q M B b B c 1 i a U i E B J n N w K Z k r e E G 3 8 B o S d K 1 + l d x C w P F F L f L n I + D 2 y / 5 X R 1 K 8 V e P i n m f q z h 1 o R N 3 m A u / 0 i e G L 9 Z a Y b 4 T s Q 6 l O G + j r 8 T X 0 B M C G 1 C k w F n 5 9 t F O / G G l x f s F j / u 7 c v O 0 M h w e J 7 E L 9 P Z 2 q W M T i 7 Z 1 2 8 v A h 2 1 h f t Z G R I e t I t e v 6 E V v f C d u f v z N n E m 2 u w t k 0 m F 6 g j / Z r / c F O 3 + 9 w C s Q W 9 L q 6 D B s F i c K N P E P a N J B W a i y D p 4 N C h 3 r n a 2 D x D q I F 6 D B K 8 N j g 2 U H X 7 J / 7 Q P H O 5 p N D / 6 M D / Q 8 0 i L / e C x 3 r 7 9 N 3 6 s J p X y C 3 V x 8 I j / u D J S D B o / g W D D 7 2 o W C J t D 4 p h v m R 0 z B V z Z m N p w a t 9 9 H T 3 2 g W j 2 5 Q P T w k b L x L 1 + 7 o P U 3 r 7 G i 3 A 8 P j e l f T D r V t W X 9 9 3 h L Z a 1 Y v 3 L P b M z L M a 6 q H I F k 0 x G 7 9 e i 5 a R O 9 F 2 t K v M D g 5 J M j y S x y d u 9 U 1 Z t S R w 8 f F K 7 Q n m K g f 7 d G B B H / w 2 C / 7 b a D s E / z + Z 9 B p w d f 9 w p i x c o B r 0 M z A Q J 6 B s w N G h 7 g R S L 5 S V v 3 g 9 1 C f v c N t V V 1 P q N F u q W r l 3 b x 1 d r H N E s s 5 W L 5 R s t H h E W n S p Q B V S U 3 R K h / B B + o N F E T 7 x Y R K g N + 0 n z 7 m G h x l L q h V m 1 h U 7 3 z 6 i d M X B 4 d G b H E 1 Y 4 M y R J n 4 S k r N s i M d O c + Z p G X V J + q f B P X F f N H I u s l A s Y F X v 2 w t 1 k 4 x o U h q N L w y Y x P H 1 I C C l Q u b b i c N S 8 M 1 Y q 3 2 L / 7 X b 9 l a T s a 0 7 q 1 L 9 a K + q R d l P w D U B 0 r H g 9 9 R / 1 z m x M V 8 l d 8 D w 6 g T d E T 0 b L W M k 8 E g 6 h 9 C 4 M F n U Z B c / O 2 E T e E 5 e 9 / v X / f e 5 T + 4 7 N W b F w I R G A b H 4 Z z i I U 7 0 O i c K w 6 k Q H N R Z 5 x z K A f e C e z H g g y 0 m o 4 J t 6 k Q 1 0 G E 2 a p x a 6 x x M C Z H o L 9 W f 5 + p N 0 n x o a X f Y Y H C n 4 n p e T c K N / Z B a b X l 5 1 f u h N Z 5 w K d 9 M x G 1 2 s y L B i H Y 1 E Y i k d i x u D z 8 0 I V s p Z z v b O 5 L e e i f L N / Y H 5 s F C m / j Y 7 y s V 7 + / 9 Y + / c / 9 b i z + O R + w + g n W L g p v r B 2 V V 1 Y W 4 R + M f m c F t k K d q 7 x + l G f U M E + j 4 j U f i Z P m P K g U S d e q D a u G m d P e 3 W w 2 Z s h S 3 r E 3 P h C M J e Z T P r K k 4 a 2 E n t 1 M j 4 K g u X v X p m B C 0 J j N z v F 4 Z X / + P 5 e g 0 W j v V 0 6 r 5 / 8 g / / V n N 4 b N j + 1 b / 7 m j 1 x 9 q T l t z e t X R y M l 3 Y p V 7 J i L u u T c c y 0 k / k n H k 3 Z w 4 8 + y 1 i 6 K 5 f 2 s C U o i V Z w Y k D 8 7 H 0 a Y E o 1 U F x P g v d q p N 1 e f / e G 4 I e I f V e M t M c k 9 4 u e 4 2 X / J H / r u 4 + d / g c B U f n 9 D q P w z b W R f q f h / o i 9 6 + k E i n / w P 5 2 D G H 2 A 9 q 9 V + S / / T / / E 2 P X + f u H e / R 9 / U P G e D s o + g U F U H y w f R p f 3 m V + H 1 x / Y J 3 z Q 1 M A 2 Z F x D t 2 z / A 6 p A C z n s E 9 M 5 Q + l H 9 u t F u 6 C x w x o D n l F v 7 t i x U x 2 W T B R t Z z N n p a 2 K x v M R D x X b K V a s r b P b N 6 m b W d 2 x e 9 N Z Y 3 P y c I i w p Y Q 9 8 f i w L S 6 s C n n k b F l H K J S U r P u Q d W Q I A p X 3 M Z S O 7 9 d d f l 4 X O O T 7 P s W f h Z Z p i p j V P l / r R t 8 i W L C L Q C X q L / 6 1 J d k P O n C e k K m V s W Q t U g v z k + o f X / u k x / H M f W T i 7 2 D z C Q m P S L Q s Z R C y h 0 4 c l u 2 X t e Y u g Q v d 1 t b R Z e v Z H b t 8 7 Y 5 V a z H 1 Z a v F N R b + L G m e c L N m v / p L P 2 / / 5 n d + x 3 I 7 E l g 6 D 9 I h e g g 6 D 0 f I w F W 3 R x 8 a t J Y 3 X / l W 8 9 L V N + 3 1 d 9 6 2 U U E 2 s h 2 R n X S 4 t 8 s 2 C j v C 4 5 s + k T s w N O y u 1 J H h g / a x T / 2 0 S 3 k q z F w U K 3 y D y g e V Y O A D A 1 0 d w 6 f + r q q j K l U k I 1 I 2 u O Y / S v H 3 q j w 4 s n v f v U 4 M 0 g P n v N w / Y f b E R z 9 v 8 4 v L / t 0 L 9 + x f 9 4 P K X 5 C h 3 n e d / 0 9 9 J A K i i G T 8 H N A q 3 B J 1 h m q K o b A P + Q V 3 N p / A L 8 p 9 A t E / 7 v W 9 d I E 7 0 m y N l l 3 r H S z b 0 S N d t j q 3 b P F 6 q 3 3 i / H k Z 3 x n L 5 C u W F 3 9 M L i w b G 3 s 3 W h I i u L j P z 6 S S F U H 8 q h U L F a u U Y z Y 1 m b H d n Z i E Y v D O 9 5 U P M J T / X 8 0 L / l J 5 4 P v 9 v q D / a b N / 1 6 E v 3 M / X + 6 k P 6 A 9 J n v c x F P S B 4 E H 0 6 4 P V y w R m k y m r I A F Y k 5 D x Z + n 3 k I Q K z 9 s v P D / Q T k F 9 i S 5 p N I N 8 f u l U z I Z 6 E n Z k v M P C j b J l c 7 v W m k x b T T T f 0 D t e f 2 N G j N Z q r Y m I / c a v / 4 q 9 I / v x 7 o 1 r 9 r f + 5 t + w f / L f / n e 2 G 2 6 1 l c y m 3 o H j S O h I n / F o 1 R 4 9 0 + + r 0 E O 5 7 W 3 B u X 7 7 3 G c / b y t r y 9 b V 1 W P p n g H f K Z B 9 g j o F 7 9 g + p L M D 9 7 c 0 F v N U T q Q 4 F u o a T A Y 0 k J 5 e + T 1 1 6 X / R c Z z X J 3 N I 7 z X 6 w e b / R Y s P y Q f K 3 j k e 9 + D P D 3 z 3 N 3 3 w 9 / s n I G 4 + G d j A Y e A 1 9 7 b 4 n f 9 R i z + V v t s 7 9 s 8 F 7 w s K G k g U 4 E T h X j 8 R z r 4 t s F + 4 G o L B r n G v n w g Q H b e Z Y Q f + u G y M t L W 2 x 4 U G p J l k S 4 U S S b t x d 9 Y 2 c l V J d u i V h J P s N 7 s p w s x a r 8 Y f W M h G 0 I e P j F k 9 F G w e 8 e A 7 P 6 x Q b e q C T Y F Q Q C C w m t z T + + l W P / a 1 s X 8 P z s F I b s u q u I b W 8 W A f e O H d n A L 2 q n 3 Y T 3 g u S c K K M + z + N S r 0 5 X t 1 5 V P j C h 3 q X N C P O E z C I v w u q 5 Z i l t 0 s y 1 5 s G h u n 9 / r 0 k D Q k G Z V 0 7 i N P P G m / 9 R u / b D / 1 4 1 + w P / / D r 9 n h 8 S H / P d m e t F N n z t i O 7 H 7 P c s w 7 g f B 6 / o n R p F U F m X l X 6 P V 3 X r T 2 V M q O H j 5 m 6 a 5 2 O 3 r s o B h r X f Y T + z s 1 7 c i h I z 5 H R Q X P n n t M n 6 3 e g a R x 8 k S C e / g + K O o B b w R f Z T I G f 3 r x x X 9 7 n b b 3 8 R + h 6 E E 8 y 9 + 3 d z x Y 9 v 5 + H 2 H 4 9 e / 9 v d / p X r x i O l R 3 r y v e R 7 S v P v e P / Q l n / f C B Y + / e / x h F 9 c F u 8 g E S w 7 h 3 7 X 6 n B X X l b / r U d 4 K s 7 m g s N F 6 V l F 2 / u i J b I y X m W b X c 7 r a 1 y k 7 Y L p P r X E R D l h 5 J b a Y o y C s R b 4 1 Y q 5 R c K t l p 4 x M H L c 8 + V K m o d X f K X m l h Y z W 9 T e O M e z + I 3 g 7 K v k C 4 / 0 9 V 2 j / 3 4 O 8 U 2 u C M F f w R H H t t 4 D u 0 4 9 f 6 + a D w z R E Q 5 9 F W O v D M Q X d E 2 + S z W R c k w c X 7 z / A / 9 k 6 9 9 y y K X 9 s S s V 1 B N w J m c Z C h g N l U v V 0 2 1 J F D J + x v / / Z / b r W d X f u N X / 5 F S 0 S b 9 u 6 b r 9 n f / h u / 7 T u / f / n n f t H + 9 n / + / 6 3 t y o P r r K 7 7 7 2 1 6 q 7 Y n y Z I s W 5 Z l W 5 Y X H G x s I I Q k J U C Y N q S k D W S Z T D q T T m e a p k m a N p C l z R 9 M Q r N 1 m K Y d o C T Q Z G i A J C S B Q M D Z A L N v 3 m K M 8 W 5 5 k 7 G t 5 U n v a X m b n v r 7 n e / 7 n p 8 2 2 1 B 6 p P v u 9 9 1 9 O e f c c + 5 3 l 5 v x u 0 3 P Y Z h S m z 7 m S m r Q Z X + + 0 j g H m z D L o J U t p I V U 5 g Q 2 P f M Y X n z x B Q a S O E b H y Q K G 0 m m b f N B S F 8 1 s a N W 5 F G x d P h W h C B g m R 5 M i q A + P m h r 1 K i X x T x U 3 r u X a u h r U G p 5 / b s 3 f F D g N d J Z 4 n t f U d i Q 4 H p a v B 5 V h 3 O f K D i g T v c t B z w c c B G J 4 x R G x V R p x a M 8 o G 9 p l J H K J R h z a W s f y p j / 1 q V g 0 I V Z u Y d V m 5 T I q C L m t v p d w W K B / l a t D S f S m U y m G f Q d 1 1 n w 7 R X Y / / r j r G H b t P W J 6 q 0 7 k r d L M Y C l A 3 c t H I m r D 6 s X L j S B 1 X E F r U w M S J L J l H Q u Y f x g r l y 3 F + n V r s K C p F h d d 0 G 3 Z W 3 l m A a c N v D o 4 o G c x X J X c S i 8 / 8 3 f C u D U q g 1 d H + y U R W V p m + E 5 b e e s z j T 4 M 2 7 p H t 2 0 8 k b g S v L R K W o 1 j z F 2 r I r R t q E C C C V J U C + D d l 7 3 H J m L e O H 4 a k S D F P I r O v 9 + 4 E U 8 + 8 T g W L e 7 E K 9 t 3 Y u M f N u H O / 7 k P g 9 R D d c q X 8 D n i j 4 J a G U I c y Z M J H Q + t w 4 T U 3 1 J 1 O J Q O D p / E 8 y 8 + j t r q O q T 6 T x I P c k g m a 9 D U 0 o T j v S e w q H 0 R G z 2 L p 5 9 + F o 3 z 5 t k 2 D s 2 K P P 7 E k 3 Y N j v O h z R l i B Z 5 + p c p q J Y P z Z V x + F P 3 I a e 6 6 6 w c W 7 n x A 6 V R 2 0 k y w 1 j 7 z W A G K 5 p R o D p C / y q l / 2 i a 6 0 t l x c 0 Y H S + T t A q Z p a c 8 G F c 5 C H F 0 4 r Z k t 6 Q r 6 F F A G G y m E Q B w 5 J f e X 9 C 1 F x d S z b D 9 H q x B 6 e o b x z H N H s X f P I G 7 8 7 E 1 o q 2 / C j + + 4 H d d d + W 5 8 7 I N / h h D 7 L E y 0 W N G 1 E v m R A m 7 5 l 1 s w k S n i q 1 / 4 K j Z c e C k 6 W l v w w z t v w 9 E D e / H F f / h 7 f P d b t x C F y O 3 f Q n v Y Q Z B i D q 5 x G t m x v L 6 t n O V V / f V W N q y Y 3 D z C E b N T P B F V O B K x z y H 6 Q q S r a 4 I h E p B f + / K k m v l s q l v 7 8 X R g W l t D A z p a W v G 1 L 3 0 F O R L S s q X d Z C Q Z r H v H e s Q p S r Y Q 3 4 P U x / b 3 H M O L r 2 z H n X f / G A d 6 T 2 O c o 3 t J J x B R v 1 U j 6 w r c S L i A + m g R 7 c 3 O D g x d D S S d 1 n / w 4 E l c f M m 7 U F M X x / 7 D h 9 B 3 u h 8 L 2 x e g f W E z h 9 Y U 4 v o g m x 5 j N T j s s w P H s 6 M 2 N a 5 K 6 f B L N c e u 1 3 f j i z f e h K 1 b t + K p p 5 7 G 1 m 3 b 8 N J L L + E m F v y V V z b j u 9 / + D j Y + 9 p g 1 h r 6 8 7 9 m 9 x 5 7 P B W r c 2 Y n J a f w 5 w X q K h s F m i 2 3 g 9 p a l z 3 / l Z d y 0 A u F t l J K p A I V 3 4 l S k P P 2 d o H Q q 0 x I I K W Q U f 7 q f Q E i l a V k t P T I E 0 / 8 s 4 Y y o 7 M O i a 7 u g m b L S B O s x o W 9 T C e p Q c Q 1 y a G 1 u R D R U J D c N Y D w z j B V L O 4 0 m B / p S K O U D q E 2 0 4 u S R Q V x x 2 V X k 1 q d w 2 b s u R + v C R j z w 4 A P 4 y x u u x + 5 9 P f j m t 2 + 1 W c W p r X F + Y H o T q d E z s 4 F a T + 3 v 6 I Q k I L 4 T 4 + x P n N 8 Y t t z o r z Y s T B Q o 2 v o Q S / h w 1 Z U X 4 Z I L 2 t F c 7 0 M L E X x l 9 0 K s 6 p q P Z L U P 1 1 3 7 P r Q l 6 / B P n / k 7 r F 6 6 B F e / 5 z 0 k a q C p o Z X 5 + O z I s K X L O v C f / 3 U r s q U c f v H I R o p 1 e Q y k s x h n W + Z Z Y d 0 J b X 1 O U Z l Z s w x j 6 F y Y Q N f i R s T C K r l z x L V W j g S y v q q b 1 6 + 9 A J 3 t S x i p h P p E n c m a u k Z S O 2 t r a 6 M 4 d a r P D r J s m T / f v n s s W t R l 5 / W 9 / M r L 2 L B h A w b 6 B 7 B l y 1 Z E Y z F b 4 3 f s e C + 2 / 3 E H 1 l + 8 A c 8 + + 7 x d 2 P b Z z 3 2 O G c N u + X j y y S d w 9 d V X 2 / t b h + m I V v H u P b q 2 d c o c c P e 9 P 4 E m Z q z r 1 F o E 0 1 / 0 7 C L z r L F d g i k j / C y I b 3 4 V 7 k I E I c s U U B p G P L Q p j v H F i a d + o i H 5 w o 6 V d s v m g N J U 3 h I V a e v d y 4 Z 9 a O e + C 0 p Z m n F c R L H t + Z c 2 4 8 D h E 0 i R M 7 + 2 7 w C O n u y n e B d C Q 3 U Q q b E + b N n 6 L P b t f R X b X 9 u C Z 1 9 + 2 n Z e 3 / u j + 7 B j 9 w F s f / V 1 H O w 5 a s R k K w W s b L L p 4 j I T p 0 R 8 r q j v X G A h L I I r / u p d N e G z b S e n b C X y s X r R 0 / K 0 z w n O S K 1 Z w 2 C I I / E k R w W O R P O a a o j Y f o q x k 2 h u r k F t l C M T R y t d i P D l L 9 6 I f T t f x / U f u h Y 7 t m 3 F 5 4 i H 4 T B H o Y P 7 c M V V f 2 I X B P 7 8 o f s R j E 2 g 5 8 Q p H O k d p b q l j + v O q C i x 3 V s V I e Y l H t b V U Y e a o C S I S c R Z D k 2 z 6 7 L v 9 S v X w l / M + b C T M n Z m J I f 2 B V 3 o 6 l 7 L w V G b s U p 2 h o S + K T W 3 N p B J 5 H H 0 2 F G n 0 k x b X 9 C P H j 2 K W 2 + 9 F f / + v e 9 h 9 a p V d P e j v j 5 p 2 y s W L 1 5 s C u Q N N 9 x g Q / K b B 2 v 2 s 4 C 6 Y V o Y v c o Y N z E X J 9 h c o G D W q U 5 g I b t t Y J P o x z S M K x E q b Y + A 7 D s b 7 S p y b d l m 5 C Z / E Y 3 i K D z d T U q T v 5 B H C O O m R w e z 7 C R c c m H j z H J j m + v G E k V W f v Y t p g z 0 t 3 M T K o 1 G c m X H 8 i O P b D Z j Y k k + M 4 J R M s K v f f 0 7 O D l Y w G + f 3 I I X q B d s 2 b m H 6 Y b s C k t f Y A J B i i 8 6 C l k r X W w W b V 6 T n a G u R a b F i Q D y U g + Y r + 0 p s 7 q J t N w 6 u F D Z X u c C L 6 z q J o b h O P J f i r 7 2 M U n p Z 9 2 1 e l s z g w z I H y 9 f g V Q H M h n W v c A h Z D C V x v D 4 E O s 9 T F F 2 F K H C C N J 9 v Y h R S u s 5 u B c 3 f v 5 v c e j g 6 6 x P C f f c f x + + 8 J V / x p M v b 8 G n P / 9 Z 3 P 6 D 2 z g S p Z A a 7 U M q r Z N l O c r 7 h A P K S y K m + p B / K g L H T J a M h C o i 0 3 e 6 E j L p E e T H i l i + a A X W r L o U v s U r 1 k y u 3 b A Q F 6 1 c j c s v e y + K Y 3 k 8 t f k Z J j i B t p p q j I w N k + O V K A o O Y G A 4 i 8 s u f z + u / c B H o d X M 1 h T W M H p 2 l M P b b r s D H / 7 w 9 W h o a L Q v 2 z p w R B s M Z z T 1 W R t f p Z e / Z 5 8 P W I 0 d q I x W 4 T w D G O a d 1 / w 5 G c N x G w U 0 m 6 U Z N U 9 n 8 R B E R K I P 1 k Y Q d P N m m H S o p r W 0 E I P u R g w E L 4 w I R E h j s j / 9 v O 9 P O n l I Y A j l 5 q H z H E R 5 J X 2 o p V N N P E F 9 h c j S 3 2 + 6 F F N X D H a 2 8 l N 8 V 9 f Q u 5 D N z J k y a 3 K I J b B 3 5 a d w 9 u F T Y i W T 0 s l A 9 b E S r r 5 i F f 3 z V M h B P W A Y k b p q 7 H h 9 L w Z P T O K N 3 j R x O M o 8 l b f S d 9 I + K 7 i j y F m B 5 V C / e M v E N A L 5 K K 4 K 7 D u U 6 q A w H v D d r x 2 4 w b A G D K c O d C s h h 1 D Y h / p k A u 2 L G h A P T i D V e w T V 0 S j G x 4 u I J h p x / f U f x z v X r c c d P / o + t r 2 6 G y f 6 R h G M x G 1 0 6 1 q k s y h T a G m r s e n w 3 F g M R w 7 3 Y 3 C E 9 b V z + l U X t T H L Q i e 1 f Z S 0 c O k q 5 8 5 p 3 b 4 S m o z h y i u u p T 6 2 E k W + + x M 1 V a i t r s L B g z v x s 5 / d i 1 d J 0 U u 7 V i B X 9 K O z e z X y u R C p + 7 i t S d O 2 Y k 1 G G J K I U 7 k g z q g 2 E A f 7 1 F 9 / C k k q f 8 5 S e G c S w k P A M i j w H O A g i O c / d 7 i p 4 M V x j R d N z n O B G 8 a Q n o i u z t U M j n b / V i K 6 l 4 R H L K q L J g p s N N H o R H e F 9 e J 4 R C T w 7 D O I 7 4 D 3 X M 7 D e 7 d f J w 9 9 d x n s 6 7 N J H w + k i z i h h H y a S t e p U Q 6 n V F q e E Q h R v X x t U o D d p d v t n U k B Z 0 J j n G 5 p i j a n B k / j 4 I n j d u F A o V R L y S K O E 0 f 6 W H e y e B t e n f r 9 n 0 D l E s 6 I I k g Q U 6 S A i n J b m W n K 4 L p r c N I h K f a x W w 2 h 9 v d X k b F H O b K M U 5 w 9 R Y k q i Z r 6 N t g d 7 H Q X 4 9 i x Y w v u u P s 2 1 v E k M s U x 5 F i f w Z F h O 5 Q 1 M 5 a l T l c F 3 f c H 6 L S u K l T X R V h n f V h 3 P q 6 L m L z e E W O y V T 9 Z 3 Y B S s P N T 6 p M t a G x s I + M 7 j Q c f v A f + j s 4 m x K N J R G I B v G N l B w 7 v 3 4 X n n t 9 E 0 S d H c U 8 z X + x Q y o j j z D y Z r C d h i V u y k l a n C Z v B E z O J + I O 2 p k 5 X v M h T i C U l T f e Z C l H L U P E 4 G 3 g N e 7 7 g d H R l n O n v h N m S V D A a u y i a n e V x R p V b Y E y A 7 9 b x d D P E p F H 5 1 O k y N v L Q z Z D A Y j m r F z T 7 J D + l Z Y R H f 4 2 A g j I S O S 9 u + Q m 0 P B 0 h U Z 2 w 7 R F V 1 A H 0 n W k K Q 7 J y M 7 5 r x K d l K s F L X 6 5 6 t h x U L z 7 b R 0 4 y u c l 8 k e L V J B F u D 8 u q N d E B b N 5 6 C L 9 5 d D N 6 9 u p m 8 w j d v X Q t U + f x X C D M F 9 F M N y a u O e W y 1 t I j y z T b x M 8 M U L s b E b H t J Q 2 p T s Q 3 / i C v C 9 C g c / s m 8 P r e X h w / J a J J c K Q P k 7 E n M D h 8 A o O Z A U R r I 5 j f 3 g J d v q a 9 U W q + A / t 7 0 c 8 R a 7 A v i 4 H T 2 j y r E 6 I Y l 2 1 U 2 e Z G 3 u r / S Y p 8 p R x H o i p j w t r v 9 9 G P f g L 7 9 7 + K 3 / 7 u A e J K H o E b P n 7 N z b q a p S r C S l H u T p A j H n u D u h L T q 6 9 p Q E v z f H Q t 7 c Y B y q D h W B h 1 y W Y s X 3 Y B K 6 h K O f M w + g A 8 z p F L K y c k 5 u n G Q 2 + K U 6 B u t + 5 w 2 p N w n p 1 z X l C Z l p 7 L m V g j V L 5 O C S p 3 v t 9 1 z 0 8 w R N l Z n S N d x Q 4 A U d 3 4 r m U u + r 6 g o V 9 i n 0 c M U v p t v 4 4 I i e 4 i G O U l 4 l G 9 Z U R U T l i H E z v i j V s A i V B 0 s 0 5 S G Q l a s y e c 0 c i e p e 6 p M / T K 5 7 3 R X 8 F t C Y + F d w 1 H H O Z u N n 9 o K s F i G c L q i k + N U j J G f J P U E Y o s L 5 U j L e M 5 s r 8 f J y j e D Q 0 T G T V d z 1 T 1 n S s Q d F b w O y l P T 3 8 W U C H P B z h K W q p u e w j X j E m p b n R W n u W 0 X D f p l c I i W 4 z K 9 t f k m N p R w d Q G m s j Q c W N D o + O I 1 y V I G C X U 1 b h r S 0 k g u c K w D R L h q j h F a T 9 F t g B a m 9 q c + 6 A G d c l a C f P b F t l O 5 n B V g o x M j F D 6 K Y m Y E o H u 7 w 1 Q b 0 p E / T Q B 6 O J q f a K o j i W x 8 9 U X G M e H a j J A / y h 1 p D W r F 6 P E D t V 6 u 0 J + D N 1 L F 6 A q 6 s O W 7 c + T + l 5 n 5 F E M p A q 2 e U x T i E I Y V U 5 V E T H l x e 3 Y T + J o d n w y G 0 E r w + P x G B F L i p x C O m 0 j c K 2 3 C d y G N 6 h 8 J l S + T s / U f Z c i b C O M R h E P e e i n O k h c l S 0 j / U M X K M i I 4 V I 2 J B Z w t C Y 2 6 I P f B J F a W 8 v l J t u U e H a 4 e K + J k m w P 4 8 w E p z 3 4 7 C G N A f M W 8 d I 9 y o 6 R W C n f c C x q o 6 R z T h 5 j S Y 4 p T 0 a I i 8 q Q A P R n 6 c k W 8 u l P W c j W Z I X + n M k P U a 6 e z Z S 0 H p B 6 E u 1 S n v W Z 0 E H 6 T I 9 1 F o M 0 6 U K j i x m l e B b w O v g c o F C U O G 3 E 0 U h h 7 c + 4 K q s I g I W x c G W w f O l G w r D 9 S z T 2 I Z 1 N Y X H p p / P P C 2 q j c A Q n i K c l M p H M c A 6 j o / p m q p v f 0 5 Z U R L P U L f V o T d Y S X 7 N o b m p i n Y M Y H y l h 5 / Z D z J / P Y + x 3 a 1 e n r C V f k M I v y 8 W + l t 6 c p 8 i s u 4 w p m G P P r s 1 s r y z q 4 n U Y R Q 3 8 B X a 6 z p J o i F S j w M I 1 t b S Q E j l Y 5 U a Q y v T j 1 K k e H D 5 8 A P l C B n 2 k 5 A y J y z I i p 9 B B L C I m r y F V b S 2 q H B 0 b s 8 7 Q 7 k g h h 7 i t Z o 9 0 o Z s m M z T r 5 8 R 4 O 2 G O F C u d Z 8 M H f V N j G K G d N q o Z 1 9 R I w w 7 T F S V y E 3 q S k q j I O u 5 y E w I I h A R 6 N g 5 L 4 4 1 I M n b O g f z o Z q M X i U T d 7 0 h r D k t y k I U w U a B + M 4 E q h t P 1 n F W a D y b i j 5 B u d f Z G S I W k I i x y E n I r e 2 d 2 0 k E + W + E h d 7 3 o 2 U Y j v l k 5 l S G J i S O T P V s q s m X O g F c H m T I o f q U 5 G 3 i E Y G V x z V z A 9 l T x t A b w T H 6 z 5 y N 2 4 R A R G f e E L k Y T Y R H l 2 b 4 S A W v i U U p W M Y 6 o T I d M K R J J U M / x I Z c N U H J i F + u o B J Z N F 9 D F Q i U s n F e L z o 4 m p p s m j o 6 g f W G r 4 a g Y j 9 a r 5 r I q u 8 q X p V E f 6 l V E r 3 K G b I N s L K J z W G K o r o k g m m j D R C i K Q 3 1 5 + B e 3 d x g R a c / S C P W d k / 3 9 G E 7 p J C J x W B J 8 W L N U 4 y y k 2 m c c U R b O l h y R L R 8 6 e A j H j h 3 D s a N H b U p d y 0 I E a k Z x N m 0 C 0 5 I l 3 b M r p J K i r S 0 f G r l 0 t p + H l G 8 P z N F 5 5 q w G q v C v e L T F s e z U Y J j i j R q O J q h z B 1 k 2 b U O 3 y R d 2 v t 3 / Q z / J z g o j 2 4 Q Q 2 p 6 b 3 m W 8 d O y Z a X h T 5 R o F R V T q X L 1 X g r 0 x z 7 x 0 L Z Z H 7 a f F p n 4 d s k L O X A g R M 3 x 5 T A Q 0 s y h u 6 R k h s b v W j 8 Y 4 v P J y 2 9 Y U f H J U K 4 f C T A e G U 1 g Z l U v x p 4 T T s / c + / b k S 9 O 4 R h v L 2 T C W 4 8 b V g V u 1 j 4 f n s 5 U 9 P C y Z m U A k i J i 1 S k K i q 7 R t a + V D K 5 3 Q K K 4 K 0 i + M 5 t r F W R c Q o y i U Q r a o n X q Z w 4 P A A T g 9 k k K E Y W F u X t B s J 6 6 i f 7 t u z g w N Z g W 4 h R N j V 4 9 l B d C x p J s P M U l 2 J U q o i I w 1 o q R K Z o 0 Y q q 4 Y k D P U f R 8 M g 8 V c 7 h E l Y h w 4 N Y P + J f u w 7 L r U h D H 8 1 O e H p 1 A B y 7 E i d U d 6 X H k C Q 1 N O x c J G I 3 T a p J e I h 1 H K I 1 I y g l l m o o X Q d 5 n X / + g d 8 + D + 2 m r m e 5 v Y f P a C c y 2 B E x Q 6 S K D h C v U A H Z 2 Z z z i 0 K A i n w 0 5 r 8 b Q Z 1 j I x y c X P y X t 0 + 8 1 M 0 0 I S E 6 U Q S Q Y i f I g A T s + T v 2 h J z b c c w 6 6 5 6 2 c 0 V Q g S N P v S X i G R n B R J J 9 G z 6 j v w Y T 2 n Y t y b 5 y 0 + 2 C x 6 i 6 0 + F K h + N R U Q b Y 3 b B c A y l Y J h p h y h O h E h D E k V E M I p r O S s Z K 7 v J 3 b I 1 O j F N B 0 n p R w b o P J 0 d L L z K 7 c a b A a 4 / E 3 f e X d t C 6 5 n l N r v S v / K 9 A s p t w P S M k F X n a W G V r o x c i q R A 2 6 A p c b V A 1 Y K M u p D N 2 s T X a G Y c A 7 1 9 0 M 2 x + f E J 9 P c P m x i b p x 6 Y G c s T n 3 U 1 a h a 6 Y a Z Q y K G Z g w c 7 i q N a g k 0 2 j r q G G H W s M W Q n t F a 1 2 i k D y y V i U t 5 6 k q g s T J D I H W V / D K U p w U T r 0 D u q D + k J p H O a A S T R J Z P t C A c i y J K L 6 V C N h v o k O 7 O E 0 / 0 D D B j G J C k 2 m x k j Q V H W D G j z F Z N n 4 k K q Y K I B w e p 5 Z e P B b z Z u x M c + 8 h H 8 4 u c / d 1 2 A T Z s 2 m a 2 G y 5 M o b 7 / j d j v G 6 R u 3 f A N / 9 c l P 2 p 2 0 0 0 E H f f z y l 7 / A H Q z 7 8 M O / c l 1 n g o 4 c 3 r 5 9 u / t W C d b V B D X L m Y 5 y W 8 l 5 Z D 2 8 T h O I x 5 q I R g L Q e X A q r 0 c k q r O I R M 8 a p U l h p k N 6 k x M a g Z W e J 8 I o D Z 0 M V Z S o J 2 I k z I W s V i T l S 1 u b B o U o Y f 8 E 3 t 3 S i i Z R u V / i I t M 0 j i 5 l W / 3 A c p n N k Y z p W t p C B p X T I y o l z l 8 5 n x P c N F T P G e C m O y U h 9 9 1 m 6 h S X 5 Z 8 C K o + M o D I e Q f l U G r U Z n 8 6 I w 2 p X t w 4 O Y r P 2 m r 3 w w t K W n 3 Q a z V i S 4 y E 3 k r a t F m 0 L K I K R 2 R T o n 6 P X w F A a a R J T Z m T M G H x t k v p O m v o h B 4 y x z D B C x P + B l O 5 D C + L U a R K m F c I R n 7 V J l r 1 s a p B K Q a U F v Q O U u r R e 8 l T G p u o X t H b Y i K W L M g I 3 f O z 9 N / s m w x g e T S H N A m l J k S 1 D Z 4 I D / S S k u j h a 6 x q x t / c w R k m F i 9 q X 4 Y I V F 2 J o a B g P v P w G d E u h B 9 2 x A b z r 4 r V Y t m y Z X f C s A 1 0 k D r 7 w w v N 2 z J Q O R 3 z o o Q e N U P r 6 T u P C t W u x c u U q 2 z 4 i x H 3 k k Y f N 7 8 E H f 4 k N G y 5 G b 2 + v i Y Z D Q y l b + X 7 4 c I + d B b d 5 8 y t 4 7 N F H c d + 9 9 3 K k P G y r M g 4 c O I C u r i 6 3 J H O B 2 7 k e 8 P X u e + 7 H C E d O d Z Q Q Q 4 e B S F S V L q T O s t G F 7 m a z g 9 S Z K q t N Y i g J E Y / i K j F 1 P o 2 b t C P i M Q 2 v 8 8 2 d z w o v M d G A 7 k 5 Y / T K M T j 7 V M 7 3 n B Y r 4 z N X v x 5 p V q 7 D p t c 0 o E V l C W m m u k D Y z I l B 8 u o j o i A g m 5 s t W N t K p i J Q U W B l G h m W 2 U Y 1 + K o N s G q d k b w G U i Q d 6 d u t Y t u c A z W i q v h 5 h W C F E P B p h N T G j 6 i i g k r Q H B 6 z M N G p L s + m m 6 g Z 0 + h C R 3 k 8 d M 5 r Q h R S 6 m U S X D L D t S Y P z 5 l V T V x q l q C a 9 d N I W G m T G h t k 3 V G H i c R s s T r x x k n G q k c 2 S c b E A b f O b 7 K Q k f X 8 N l S h u q 1 / Y r p r 5 y 1 H + X D h / E d r b O r F 2 z R r s P r S f o m M E D d W 1 8 L e 2 J o 1 I L l p 1 M S a p 1 I 0 W K Z M y 4 k S + h M 4 F 8 + 3 A l l C i y l l J G 6 y h P K o V E U 6 n z I T Z G 1 J x p f R p 8 a w a o 6 e n x / U 5 A 9 o + I m I R 6 C w 4 g c L q e f H i T u z W L e t 8 3 7 Z t q x F r s i G J 9 R v W k 3 i 7 T B x 7 S 6 C O Y 8 e I g S h t b 0 Q y Y p I u I z + N L n o n o a s e G n V E 5 J W I K f A m I 8 x m G K 8 l 9 C 7 E k c 0 A N o r J K B + 5 l 4 F + M l o h r U v C / E S A D I n x 3 x 7 5 F b 5 1 1 w + p P l H k K 1 F i 0 J S z f Z h V J J X B z c m N X z Y e d 6 d x G A D r Q v v / B d w 2 K M P 0 d w 9 U L v p 5 h C G j k U T u N s q p n B V x G d r A C + u B J w k 4 b o q X Z / w s p Y U s s q M Z D O l e 3 N Q o G U r A Z m p 1 E n I 9 i U a n H t d Q p N M y u 6 B O e S W D G s 9 l M Z j q x + L 2 N k R j u j q p x B G n H v W 1 Y V T x O T C Z w 8 I O 3 b u l s j E 9 x v F T / F 7 e s R x t r f O x b e d 2 m 9 H W d p u a C E X y Q 4 e e m t z y 2 h 5 c u u 4 a H O 3 d j T v v v w M R I l Z n y 3 w M 9 a V s E 1 a Q y v B w b h I 7 D p 5 C + / w L c M t X v m T n S P z 0 0 W e I K I 4 o I 9 i w q g M r u 5 c 5 L 1 5 r l G G G g w u z N b 4 T V o 0 m U W 7 d u n X 2 P h f o d F I d e 9 X Z 2 e m 6 n A u U p / L w 4 d L 3 f Q D H y J 0 0 8 W B L T U g M Q j t 1 l o e Q I g Z D R h o R g c Q 3 4 i u R V B z f Q V i 5 O z e S O 5 0 v d 4 E 2 J e p Z b k r H V o 5 Q P C j H Y X 4 W x w i E N t N e 2 b 0 E 7 1 i + B N d d + 0 E 8 / M S T O H J g P 3 y Z A n p O n s D x k W G G c k / H Z T y B T m M t 6 2 g G K h z T 0 o Q J H 0 l / f B U i a J d 1 3 v K d l b j c 9 N 4 s V M a y M s y W j t z U D s x b N 7 e o b J o J t u 3 / J C q d u a c 6 2 B I 6 F 7 S O T z V S + w j O 1 M 8 B a z c q T j 7 k r T + c P R s h B I m z 2 j I f T c S Z h 8 4 O L K F 9 Y R W a 5 4 W Y q N o b 1 J l G k C a h J R J 1 i F c 3 Y n w 0 i / 6 R I l L 9 a U S q J t F J J n 6 o p 9 + 2 h 4 x n i R N F l p u 4 X l / X g B L 1 s W u u u Q K v b N / C 8 v k R j 9 e i K R n H J e v X I P D p f / z m z e n 0 M W z b s Q 2 1 N S 0 c r T q w a / d O m 4 K c o N z e 3 N D M A r N Q H P X 6 R w q k 4 i S u v P x y 4 9 b r V i / D h S u W 4 M K V M p 2 Y 1 9 j g 1 P R N w S y N 7 7 q p w V p b W + 3 5 b K A R o 7 w t u g y z p S u Q u 3 W T 2 f / 9 4 5 / Y T f X W m R a F B F L Q s 0 Y V 9 q g 6 j U Y I a M u S i B B e B 3 s E 5 f m T T Z 5 B V r q L k 0 5 Q c d Y I 5 4 U x 2 0 U M P R t n J i g d T U g w A d R Q D O n q X o 5 M 7 0 k s 6 V i E Y c r 5 l 1 9 2 K f Y d 3 Y / T m R H j v F M Q V 9 j k c v o y 6 F m j n f s n M C J U O C / e d J j L X S C v a c Z 7 n A J M Q + 0 y p S w C p W 3 p O z H U B g p h n y D Y B r a S R J I P 3 e 0 j u s o u W 3 G m p 0 W Q n 9 m s j 3 l r N 7 L E W o p k u p H T V 6 W L E W I Y G d Z R 3 0 W M Z g Z N v 2 p I U n U 4 f t C O a w t V a c Y 6 R O m p B m N Z q j c 1 C T T W 6 Z I L n W 4 U x 1 A q Q 2 I S Q 6 T Y 5 6 v C 0 s W L s K p r O f 2 K e G 3 v b j J e P 9 W V W u g a 0 e 7 l C 0 m E q + D 7 / s P b J v / 0 o i J + s + k Z u 8 L m v e u v o k 6 R w q 8 3 / h S Z 7 C D q q u f B X x h D I h j D S / u H K T s u w 9 e / f B M L 7 1 a y o r J T q j 2 j D W Y 4 T A O n g a b C 2 e N Y g 8 / S 2 A 4 o v e l + M 9 3 e e e W 1 O K 4 R y g U j k E m H a L T Z L E t R z 8 5 i q y i e i X U M J w I R A e l Z h D F J L h s g o 7 F 3 I S / 9 N N 2 r 7 3 H K t 4 w E 5 H Q e c R l B 0 d b V q n T h C K W P w z 5 y v S i K E m V y z N 8 X t q P c / J E E w 5 C r U / w w 4 h C o / i Q o c f n K t j A y d Q l K / s p L u W u 5 m K A y 7 A x Q O Z 2 i T o V p U W Y N 4 q X r 1 r U M c l c Z 9 G 1 O B G f P D g P x c W Q v Z n N O P c j I V F b d / m J F 9 + J W g N e O A j s 9 i 3 X X S C x j + / b D I Y R r E y T K C R T H p P f o W L x x L F i Q o G i m r T A 5 0 5 O j 8 W q O Q A n k m X 8 i H i H R R J B N j y O V 9 6 H 3 e J p h t J 2 p 0 X a o r 1 m 9 m o N L E i 9 v 2 Y L h 7 C i i 7 G f t C I h R j F y + t J 0 M 7 x I M F x c Y M 0 B P f w M 6 l 3 U y Y h V + / d R D q K + p R 3 f 7 O t T F 5 + P o q e M 4 P T y C 4 6 k 0 U k N p R m C B K 6 G i c t Y C b x n U G p X m X O A R 0 5 v J c 2 a 6 S k L I L d F L t h E D j Q h F B z y q g e T u E Z F A s 3 Y i B E + n M q I S Y d B f u p Y R i g z f 9 f H b C K s q b E Z X r Q j K S E H b Q X a 2 K 4 O W U H S 2 L J B z 6 p t K r u h D V m J K h P o T d G z w G U I y B H J H J 2 l t x v V d Y z N l z N t 2 u z I r l k a R y v 7 n B C f 4 V O O B 4 r v p T D d z g v x o f N Q B V S 6 1 i Z i U n b 9 X Z P 3 o T V J y E P I s Y G 2 l d F h n n e 3 B w c P a 0 P F 0 + l K E q r 1 8 L Y 1 J R I n T J R J G s R S g m q K j G I I I a f c t 3 6 u q O A r Z z Y 0 h F C k W h g q s A 5 M 5 e S p F h k g R s a E V K 1 a s x H q q H L o 2 a N N z z y A 1 l k Y 0 F E B 7 a 6 O t C V z Q 1 s w R M c 6 e q b N i s P w + 7 D u W x r L O D i x u a U R N U y N + e O / t t o v x m v d 8 C J / 4 i 7 / B y Y F + T J B b 9 w + e Z o e K s z r l P w O O g 9 N p L s w I 8 2 b h L J 1 j 4 P n P F e 5 s 8 V U 4 r 4 B s R J c Y j B D U I b S N w O g m o w 6 y S Q q C i E c g d 4 W x X P i s W y g C 4 T B C l L l t I o P h Z J S L R 4 w i R I v D Z w 8 M Q Z Q v E c S A f l 5 c L f M S e H m e D 0 x B b h F b h b F Z t P M B x T 2 b O R + Y H s d F G h G Q c M h W b Z T Y H j m q E x z Z N b M n Y q J V h s p n E Y 9 G Y d k 2 e 8 k 0 z V 8 / a k O F U T v x Y V J 6 q v q U h J q g H i U m x V b F M E e f 6 l g d q H J R T 4 r Z i p 6 a 6 r B t u 5 j I F t j H m s 2 L k J E G W Z Y g u r t W Y O m S T u z a 9 S p + / / h T G N X E l L + A 7 o 5 m 5 H I Z t M x L w j 9 R Q E t z C 5 l e N Y v h w / 8 C c T Z y Q d o N + K M A A A A A S U V O R K 5 C Y I I = < / I m a g e > < / T o u r > < / T o u r s > < C o l o r s / > < / V i s u a l i z a t i o n > 
</file>

<file path=customXml/item4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T o u r   1 "   D e s c r i p t i o n = " S o m e   d e s c r i p t i o n   f o r   t h e   t o u r   g o e s   h e r e "   x m l n s = " h t t p : / / m i c r o s o f t . d a t a . v i s u a l i z a t i o n . e n g i n e . t o u r s / 1 . 0 " > < S c e n e s > < S c e n e   N a m e = " T A B L E   1 "   C u s t o m M a p G u i d = " 0 0 0 0 0 0 0 0 - 0 0 0 0 - 0 0 0 0 - 0 0 0 0 - 0 0 0 0 0 0 0 0 0 0 0 0 "   C u s t o m M a p I d = " 0 0 0 0 0 0 0 0 - 0 0 0 0 - 0 0 0 0 - 0 0 0 0 - 0 0 0 0 0 0 0 0 0 0 0 0 "   S c e n e I d = " 7 6 c 4 1 3 b 1 - 5 3 3 6 - 4 a 4 d - 8 7 5 0 - b d 3 2 1 f 2 b 2 7 5 b " > < T r a n s i t i o n > M o v e T o < / T r a n s i t i o n > < E f f e c t > C i r c l e < / E f f e c t > < T h e m e > A e r i a l < / T h e m e > < T h e m e W i t h L a b e l > t r u e < / T h e m e W i t h L a b e l > < F l a t M o d e E n a b l e d > f a l s e < / F l a t M o d e E n a b l e d > < D u r a t i o n > 1 0 0 0 0 0 0 0 0 < / D u r a t i o n > < T r a n s i t i o n D u r a t i o n > 1 7 5 0 0 0 0 0 < / T r a n s i t i o n D u r a t i o n > < S p e e d > 0 . 8 7 2 8 8 1 3 5 5 9 3 2 2 0 3 2 8 < / S p e e d > < F r a m e > < C a m e r a > < L a t i t u d e > 1 8 . 5 0 3 1 9 2 1 6 2 3 4 8 3 7 3 < / L a t i t u d e > < L o n g i t u d e > 7 3 . 8 3 7 2 5 3 5 7 0 5 5 6 6 4 1 < / L o n g i t u d e > < R o t a t i o n > 0 < / R o t a t i o n > < P i v o t A n g l e > 0 < / P i v o t A n g l e > < D i s t a n c e > 0 . 8 7 7 3 7 4 1 1 3 8 2 8 0 6 6 7 4 < / D i s t a n c e > < / C a m e r a > < I m a g e > i V B O R w 0 K G g o A A A A N S U h E U g A A A N Q A A A B 1 C A Y A A A A 2 n s 9 T A A A A A X N S R 0 I A r s 4 c 6 Q A A A A R n Q U 1 B A A C x j w v 8 Y Q U A A A A J c E h Z c w A A B C E A A A Q h A V l M W R s A A N h X S U R B V H h e t P 0 H l K T Z d d 8 J 3 g y f G R m R 3 p v K 8 q 6 r q k 1 V + 2 5 4 1 w B B Q v Q A r U i K F D X U z n B X 9 m h 2 a k a a n d V K q z 0 6 M 7 t n Z l Y 6 M 7 s j r S S K G o E E C H o A j U Z 7 V 9 6 n 9 y Y y I y I j M k y G 2 f / v f p n V 1 Y 0 G w N F q X / X X E f n F Z 5 6 5 5 n / v u + + + l p / 7 r f 9 H 0 1 T a U 2 3 2 V / / a l 2 x 6 8 p 4 t r S 7 Z 4 t y c 3 b l x y V K d g 7 a y t m J X r 1 y z S r V k T f 2 L h B r 2 7 O P n 7 d U 3 3 7 F s y S x U L d o / / n u / Z T c u v W n 9 / Y N 2 8 u R p m 5 2 d t 9 6 e L k s k U 9 b R 2 W 7 X 3 n 3 T m s 2 y R e N h K x W K F o v G r L C 9 b d V G 3 Y o 7 R V t Y X r L W 9 n b 9 V r C + 7 l 6 L J 2 M W C r f a + G C f D Q 2 O 2 E q m a v W G W a V W t 5 Z m 0 7 a 2 N m 1 k 4 o B 1 t i W s p V 6 w a q V k R d 3 b b N S s V i 1 b o 7 Z r z V D E 4 h 1 9 l s m u 2 / b G l s V j M b 2 j z e q 7 N b 2 7 Y J F o x D o 7 e 2 1 h a c G W 1 c Z E a 8 L G D k x Y Z y p l c 9 N T N j 4 y Y t V a 2 W r N s N V 2 q 9 b d n r R s N m v R R M J 2 S j u W b k + r 8 S 2 W y 5 d s e W X d U h 0 p U + W s v T 1 l 1 V L F u r p 6 r H 9 o W O / a s a 3 N b f V c S H 1 Y t d a O d k v E E x Z S f 9 y 7 + b Z t b G x Y V H W L h M P W m m 5 T O 0 q W z + / o n X X d 3 2 c 9 X V 3 W m e 6 w 4 Y F B q + r + 1 d V V S y a T t r K y Y k m 1 P 5 5 Q v X Y q d v a R 8 7 Z r U V u Y v G 3 J e M N 2 q z u 2 O D N l Q 3 3 9 1 p 5 O 2 b 0 7 d 2 1 4 Z N Q 0 C t a I J K 2 Q 3 7 K 2 N v V J L O n 9 n o i 2 q P 7 q N 1 E E 7 + n s 7 N T 3 F m v W 6 1 Z W e 0 O i k x L t 7 u q 0 U r l s b c k 2 s 7 p Z W P X e 2 d l R X + 2 q P 0 I W U 1 t K 5 Z K F Q 2 G r V C r W 0 d F h x W L R P x c X F / X O N n / 2 9 P S M N d R f 9 W b D G n p p v K 3 V w i 0 t 1 q j s q g + T N j g 4 Y H N z C 7 a Z y d u n P / N 5 u 3 r 9 q t V U l 6 z 6 5 r d / + 2 / a H / / R d + w L X / i C / e N / + l / Y w Y m j 1 p H u t r t 3 p + y F z 3 3 B / l / / y / / T / p u / / 3 + 2 e r 1 m / / i / / Q e 2 k V u 2 S M 0 s 2 h K x 3 X j E u l O d l m y N W 3 W n Y L v q Z 4 u 2 W T l U t V C k R U P a t I r G T A N i w 7 3 9 F t V 1 v / 9 n s 1 Y L t V s s 0 W r p R N S O H R 9 T H 8 f t 6 P F j d u v d H c t r z C j h c 0 9 8 / q K 6 0 T 7 / o + f F Q F d s V Y R V 3 d V g V G p 2 5 + Y d O / v o e e v s 6 L Z 3 3 r o s A m 9 a t a 4 O q F V t a n r a d m p h a 7 a E 7 O h g 0 h L N r A 0 N p C w a a d r 6 + q K V K l l b W J m x Y i l v W 5 l l y 2 2 t W t 9 A r / o 7 Z C 2 N p g a o b C O D Q 9 b Q K I U j E R + g Q j F v 0 T D D 1 r D 8 T s 0 W 1 z Z s Y u K g r c w v 2 8 2 b t 2 y 7 A J F V N G h 1 O y G m X Z q f t 7 Q G t V H N 2 5 K I a 1 e M l F A n q I L W 3 d 3 p D H h r c t a J 4 f S x o 6 r H i h 0 7 c t R K Y m A I M a y G h 0 J N 6 + s T A 8 f i t p 3 f 9 r 8 j k a i 1 q u O u 3 7 g p B l Z f 1 J r W F h f h J W L O E O V S y e L R q H d 8 S Y Q U j 4 m o o 3 F L i F l b W 9 X h 6 a T + D j n T 3 7 t 7 1 w q F n L 6 v W a 8 G 6 8 h Q p 8 2 v T N p W d t H C d T H H 5 q a 1 S Z C M j I 3 b g U O H r K A B 7 h T B 7 t Z F V H p O V E K h S 3 8 j f K 5 e u W q b O T G f 3 t 0 m p m 0 R I f d J W I X E 1 A 2 N y d z M t K 2 r z 0 6 c O m 6 3 7 9 6 z h s Y q G Y v Y Y F + P V d W / t Z o o S n X u 7 E x L a I h 4 m x J S E k T L S 8 t 2 + N B h j b u u 0 X s p v K N F x F 3 M 5 / x e C F N d o f 5 o S g C W 1 c 6 E n r f r g n F 2 d t a Z J K Z 7 w n o f H F m X 4 C s W C 7 a 0 t O Q M R n H B o W s K Y l 4 Y D Y F w 8 O B B S 4 v R q r u 7 6 t u K G E w X i j 5 2 C t s S K n k x q 4 R i v N W J / q d / + p e t U t Z 4 9 f c 5 X b 3 4 n T + R M A m r r d f t y 1 / 5 a f u d f / u v 7 d i x Y 6 K V m 3 b 8 x A m 9 N 2 r / 6 B / 9 E / u 5 X / y K f e u l P 7 W Y + j l U D 1 n / w J A E Y s V K W 3 m 1 a 9 f p m f 4 M 6 + U h t Q + B 2 l B 7 K x W N d W P X U h J Y B 0 f S t p 6 t W K X U s K b 6 v V A U 8 7 U 0 b K c a t S / / + H l 7 + + 1 F o + r h c 0 9 + 4 W J M h L K V m 7 G 3 X n / L L l 2 7 Y e + + c 9 k u v / u O b W a 3 7 Z o G 8 e 0 3 3 7 W a 7 W i Q o 6 p A U 5 0 e t r o G p m k x G 0 x V 7 U e e P W N j v V 2 S / H U R / b Y l 9 L y e V I d 1 S M q Y K h S T 5 C u K 8 E K R V p u a m p Z Q a 1 p P X 5 8 q u C G p 0 i H p v i I m X L U R S e A W M W h I B B 1 p S 9 l 2 s W z t 8 R Y b 6 O 9 1 7 S j d p k r v 2 u E D I 7 a T W 7 e u 9 l Z J 1 x a 7 p Q 7 d 2 t y S J u y y i g Y j 2 S E C U j 1 f f u 0 N O 3 r 0 s K 0 s z Y n R N D B i k n t T s z a 3 u C x O i k j C q n 5 N a q N q i l j m F + e s t 7 f H B 7 n Z E r Z 2 a Z y I m K W m w Y 5 I i m 5 s b d u q N F 0 s 3 i a m S 0 i y 7 l q v 6 i a d K W K T 1 s z l N B B 1 2 y l u S 6 q u i w m K E g i j G p i i z l f s 0 R N n 9 M 6 0 L W Q z 0 t x J M W n S Q p J y v d I g Y + M H 7 P a d 2 6 K l m p U r Z d V V G k t M G Z Z e Q C P l 9 e z e 3 m 7 X x E j v k O q X i L V a X p q 2 U C z p u e 3 W P z h o u + U N X b 9 k 5 8 4 + b J W i N O P W l j R 0 1 r Z F Q L G 2 p B B H n 5 g y b 6 1 7 R N r V 1 W 1 5 M b 4 6 R O 9 W G z d W X W C g Q R A O D b U r I q a p q S Z J a Y C j x 4 5 L G O R E 2 B q b Z K u I U U y q 9 j f F R C k R Y q I 1 r e d K 8 E o o t w u d x C X N 0 a Y I 0 r g 0 O 3 V v q L P 7 B / q d C e m v u h i z V C 4 G 7 9 F v M G C b 6 h d V H / B 7 V Y x W l h C 8 f f O G b W i c t z b X b G l x U n R l t j g / 6 Q z / 6 q u v + n g s r i x I 8 D f s y u W 3 7 e q t t 2 0 3 V L Z L 1 9 + 1 e S G g o j R 2 W H 3 a 0 l K 3 d G f S / y 6 o 7 Q i k q j R o S G g p 0 d 5 h O x J e 7 R L U I J k u j V E 4 H v X 2 H Z P i u D W X V X M l I M Q 9 j R Y J E P V b e 7 L F V p Z r z h v h h 5 / 4 w s V n P n n S b q m y m 5 m M 4 E b Z y m W p b x E R H Y v q r m u Q 1 U z v c N c w s K J U Z y x U s c 8 / d 9 w e P 3 3 K p V V O E i W v y q Q k C Y A A u e 2 8 z c 7 P u k T q 7 B p 0 z T A 1 N e U M t 7 S 8 K M 1 S F 3 H G L S M p D U S r e + d V p R G q 0 i C t I p 6 K t S f 0 H m k P S j q V V K f H r V T M 2 c 3 r N 2 x a c K Y g K Z h s j V l a G m d H d b 0 m W N A j R r g 2 O W c d I p b p + Q V J + R b V 1 U S A G j C 0 T U f a o V t B 0 B M Y t r y 4 I i K u 2 P j h o 3 p v u 8 P G + d l J O 3 j g o D r M X B s V R J x J Q b y K i L B d h J N U v S J i f u r e I m i z l a 9 I K 0 r S a v B 3 1 H + t I q L B 7 r Q P z N r a u r R J x I r S r P c W 5 i y 7 v q U B q j v D n D x 6 x C X 5 v K D Q 8 s q a h a J h 6 + p J i 2 F j l t W 7 S t J u 5 W p N D J C w N v 0 2 N D Z g 6 1 s Z I R T B D 8 G 4 G m o j H J e m j 1 h m b d V i a G j V P 7 8 p p p V W r W g c a 4 J t V a l r j b c T T 6 m Q F 5 o J u X R G e w 8 M D 9 u O E A m C t S v V r v 4 3 a 5 O m q f F F z 4 5 I a / N M k 0 Z d m J 3 S 2 G 4 L 2 v d 6 n z H e H b q H 8 U 8 k G M s N v a O p 7 1 H 1 R U n w W / e q n y I S a G g b N C / Y k c + e d K + 0 e U o 0 A D Q s i R G E e K Q l e r r 7 p C 2 a 3 o c N E V u r a C G h M Q j p / R a p 6 1 4 J d 5 k Z b S J 0 N H h Y z w 8 L v s f 1 / n h 7 X P 1 V k j L Y 0 N 8 R v b o h 7 a P 7 x f z Q 2 q 4 E f C a 3 Z X d k 2 l R V h x Y 9 o 6 p z O 0 I + O 4 L 1 A m G u a R G K U d U 3 L L i n L r O m + j 7 c D N m g U N j d R S k H v b O h + g 4 P 9 q r N B X v h C 2 f t 5 t U N C 3 / l F / / q x Z m l e 7 a x v m n J y K 4 g y L a k T 0 k V 1 k C o k x q N s A Z L 0 E A v Q i f x D 6 k F 1 v 3 0 R 0 7 Y W I c k q V 4 I M W f z W R s Y 7 B c U W 1 K n h p 0 p S 8 L D 4 X D M R o d H H L b 0 9 v R I C q 7 Z 0 N C Q 2 z R F D W g S S S X p A B a n 8 l W 9 G 4 Z q 0 6 B Q j 4 6 O L j F T u w i 2 y y 5 f v S q p n r S J s R G d T 7 n d t L q + 7 t q m q 7 v b I e J 2 u e L a r b q z 6 4 P 6 y E O n R A Q F d X p M 5 / M + g H X V d 6 C 3 1 w q S 1 k O S 7 E P C 6 3 3 6 O y L p s y m C b 2 t N W V l S d m 5 B 2 k y d 1 9 n V C x L R I M i O E O S J i U C a 0 q S J t D S O G K E C c R Y r g p m C K x I m E A a S r F y R / l L 7 O z t 7 J K m l 1 c Q k T R E 3 9 l t G M P D 6 r W u u A f N i 8 F G 1 a X k 2 0 J K 0 + y s H H r d 3 V 6 f U 4 7 K t 1 E e 7 G n S Y e H B g 2 F a X 1 6 w p 4 d D d O 2 h J 2 Q N 5 a S k E X k Z C E a Y / f O S 4 2 5 D z E i j A Q Z g L i J v T G I 3 r P W g N t 4 d U / 5 0 d E T O / Z b f c R u n s 6 n C t x W 8 l 1 a O s v m K c B H Y E 2 / t d e w E H 4 y J Q B G x Z 7 Y V h k O L Y w 4 x 9 W V o j J 6 2 a l E b e 2 s r q N 9 m a + n t X T M r 4 I i Q j I l w E k r r V I X 9 U / X l A m n p X U A v I x d h i W / U J z f T 2 d F t W 9 3 O A b h A G Q F p U R V j C X R w o 2 l 2 V n J e g k L D a E m M z D t i x K T H t d m 4 7 s L F 1 B 7 A 0 K a H f E C x t a 5 U d K A J u q h 1 R t S e O f Q c D C 9 I y T r p Y J g n I r G Y z g s b t C S G I U s 2 y l b i Y e d c K 0 v w h 2 d g H h 9 t E 7 + 0 W / q / / L / / F x W + / c c k + f r L T C e e G I N l u G f w o P K t / d a n H h m 5 Q f 6 D l v N N E I T b c E x b M q 1 t c n Q e G H p G x 6 1 p J D Y a B w K T A p l 1 V C o Y A O y M d 1 9 b W V K G q E 0 2 7 G s V A t U k K w K Q M U E 7 G Y E N v K m o Q I 2 p k R 7 p T A 5 L T 4 A r G i R n A 9 F l h 3 3 v T 8 5 J e E T G T C E h S t K n v r 7 3 5 p i D B j s X U G a v S g F V J 9 k f O n p G d F f f 3 1 C U a x S N q 2 6 4 M 9 U G 3 V + h M n C 7 Y K Q N i 8 m R b n 2 B d 3 p 5 + / i M 2 v 7 B i J 4 6 f E d y s 2 + N P P K 2 2 7 Y g J t u 2 v / s Z v 2 M z k t P 3 o j / + y 4 F V R G m 5 D 7 R 8 T o Q 9 J W G z Z w w 8 / 5 u / 4 q S / / Z b t 0 5 b p 9 5 e d / y c Z G J 2 x 2 8 r q k X s w d M M O S 8 O l 0 u + w y Q Q t p m f G x A w 4 Z T h 0 8 b D V p z h 0 R z M D Q q E 2 u L 9 m m b L u S m C 4 p D d 3 d K Y g m A 3 g z k 3 W Y C 3 w a G h l x a V p W e 5 q 6 L y w 4 v r S w Y D 0 i J m z S i M Q u D C O y s R F p I 1 l c j K T G J O K C r E W M V x X k a o h h Y 4 J a j H 1 C e A o m p N + A 5 D A 0 Z V X j B y S D o b Y l I I G F C B c Y G e b q l D 1 U F 4 1 g r 3 H N / N y S C 9 b x 8 Q k 7 f e q 0 b Y q 5 q t K G V Q k D N F J M W i U n M 2 F T b Q G C Q r j C Q K q H N H R 2 0 5 0 3 W 2 K 6 k t B S u Q z d 9 D l 9 R K S J w 2 K e m s Y Y 5 0 d K 6 G G 3 p R a M q S S H O 0 z U N 0 l B O F Q i N h 0 a a r B v w I 5 I 6 D a w j 2 S T o 5 F A L j g r e i T 0 e j o 6 L a 5 6 5 f S c m O B + n 8 y H T d E b i K J f t m h J C n a w K 2 5 z K z n R H H Z 4 R I z V s P X c r p 0 + P m j h j k M P X T z U F 7 G z E 2 n 7 x n f e l i 1 T V M X F T O r o u r S T S W s h a Z E U T R 8 S D U R T 9 s C p H u t P t W n g l s U w e E z a n Y j S q S 5 X 0 9 0 9 v Z K G 2 3 b 6 9 F k 7 K g M R o / + 7 L 7 9 u Z 8 4 + I r i 3 Z s u Z V Y d O S N x d M V h c k q I h r s W 4 x z k Q E + S B S L B x 1 D 7 v k I q u O 3 f m n D N 6 j Q 6 S T X B P E v 3 z n / 9 L 9 t M / + U t u k P / k z / 6 S v f 3 O J U m Y D j t 2 + L B g g n C y Y F N e G q u g 3 l j J a O D E I G 2 y p 8 p o Q h F A W Z 2 7 q 4 G 5 d X d a A 7 J r x z X w G O d T Y p o j s s E Q F n F B A 5 w m B y Y m Z J M t S f L P 2 u T k l D 3 7 1 O P W 0 y N N m V + 3 8 x e e t F u 3 b r v k / / G f + A m 7 O z U v x l 6 1 z P q G G 8 m v v / x N n Z t 0 Q g r L o M X Y F V B x A 3 d 9 M y s j f N v q g i n l i O B O P W L 3 R M h 4 1 G 7 d n X K N s i n C y m x K y o s B n 3 3 + e X c g 1 Q Q x M z L 2 J 8 Z H h c j 0 X Q y Y A r p J u + C w q Q p + t g i C I f E T s m E 2 N z a l R Q q u f d A i 4 P e i + u W k 2 i m x q f 5 u k R b I W J d g c U 9 P l w g + 4 e i g K r u u s 6 t L 5 7 q d U X Z B H 0 7 k Z Z f y M B O M h j b b y h V 8 v N F G a G W J f x F / 2 D 1 9 o B C 0 I A b / t j T G Z l 5 w X 4 T P M 6 V r x C h R 1 1 b A Z p w 7 I Z 2 P i G F K J d m V Y l 5 o c 2 0 j o / E I n C K C A q 7 9 a h W c B X g 2 q 2 q v t I 2 e w / d o R C a C 7 g F u w p z Q U E Y 2 6 a 7 q 2 S G h f 1 C C r J D N i + Z w i A n G 6 2 g J S f h L E K 3 q P M 6 5 7 v Z O a d O w d a g / W 0 E u V r G D s n s n l w U L R Y s h r t c x M t p m 4 V N P P H f x 1 z 9 z y q Y X V i 0 l I / L q j S l J 5 J p w t y q I B 0 4 E j l J C M 3 G E N T g H h x J 2 c L D V L p x 9 y n b U q V k N M g 1 o F 1 O V B S 9 Q 6 R i u H Z 2 9 T g w R S b 2 y s P R T T z 8 j W F i y T 3 / 2 C 3 Z X G H Z + e c H t i I S I q C k 7 r a p O a 5 V x 3 S Z J U t H 3 t n Y G S n i + N e l 4 H Z y b 7 J Y E E S H W J M 3 d K G 6 0 6 b 3 d 9 u z T z 9 v C 3 K q d O H n W 3 a e f + u Q X b P L G 2 5 Z u j 9 n a + p q M 8 R 4 N k j C 4 p N X 4 6 I h j / K J s A a D r y J C k N l C q f 1 A E t y I m m B V h L g t m p E W w O / b K d / / c b t y 8 K m 2 4 L K Z d s i t X 3 l Z 9 R I w N Q U v B t r w I M J V u s 7 f f f l U E h L T f t p e / + 0 1 r 7 h Z t f L j H t t Y X 7 Z b u 2 a l o A C T 1 y m g b 2 X 1 J 3 V O q h O 3 0 2 S c F L d d c e 5 4 7 f d 4 O 9 B + 2 J 5 / + p G z A A T 2 7 a g M 9 I 9 b S i N m h A y f t + Y 9 + x i 4 8 8 p w E j 9 5 3 6 T W 1 a V u Q Q 2 O j Z 4 6 I O D p k f 2 R E c G V J + + x 2 T p B Q 9 o g k a E h M C h H u 6 i X x 1 q g T c 1 U E j 0 3 Z l P q a E z S E k E q l o u i g 1 V Z X V s X o u 5 L 8 P W L c L W m e f m k e B K p Q h 2 w N b E N Q h 3 v w R C v 6 n y B 3 l 8 a l 6 l 7 K H U G / Q c F / C D G s 5 w I X m 7 p O 3 e 1 M D F P 1 d P f q / R L e + l 6 U w G s I J i f x s E m I A t u a E u o 1 M Q U O l L H R M X f 6 x I V q B g Y G h Q S E T M R 4 K Q k G a A / Y C v R s C B G F p H F P H j 9 h 0 / e m x Q Q p a R u h I A n f V v U 9 d I X w j G n 8 W 8 Q 0 N b 2 j J N r q V V 0 3 J L B w i n T L d I g I X W 2 o j 4 a F P E Z F F z B 7 Q r Y Y K C C W 7 F F d N Y Y S y q u b s s P U t x G 1 K Z d v W P g v / e R n L 6 b C F V t a n N O L a 6 r o i m U l p R v q 5 H C 4 b k n s J z p e H Y J 3 J N l S t i f P 6 S X S Q H h e 1 A K f J 8 H N f P f u H T e + g R A N c e P n P v d 5 6 x A n n 3 v k U R H k b X v + I 5 + w d 6 9 c c x w 8 N X V Z R C G J J G Y 9 / 9 j j M n b n r a L G L G f W b a C 7 x 0 b G R 9 z W w t C F m R h E 7 I 6 U J P W J Y y d c + w G F U n E Y s m 5 / / C d f E 0 R Y t 7 t 3 3 r V b Y q T N z L L U e N U 9 j L P z 8 9 Y S T U j R x n 1 w t m S w y p x S x z d E V G V B l 6 x L s 1 5 1 Z E k d R r 2 2 8 i K i n g 4 J A G k 0 C Y k Q M F a D c + f u P f f K P f z I W d U l L m b H J V w X D J P 9 U c O 9 L C h R 2 b G H Z L c 1 1 e n 9 f X j m d t S W V Z 9 z w 9 5 a l o T E M c P U w a C Y G c h 5 + + 4 N a + 9 I 2 M r K s k 1 N T 9 m K N M 3 U / I w k d o v d m 7 p j 4 w d G 3 C 6 4 t 3 T H r 7 1 1 + 5 q e h + 1 T M / z Z q b a U z U z N a I w i 1 t U / Y J F Y q + x F C S G h B i R r R 2 e H x q Q h + 6 f X t Q b C E S 0 P p A 4 8 n d K K 0 k R l 2 Y h V P a 9 D U K e r Z 0 g 2 F B 5 a s 7 H x I 3 b o 0 A m b n V N f i i k S 6 n e 0 F I y 0 n t n w c c n J 2 C 8 U 8 t b T 2 y 2 m a U g z Y A J s 6 X o 3 F v T u D v V 1 3 q X / 1 m Z G f S u h m 0 q 7 U B s e H r U x F w j d M l u i l p e w q 4 i 5 a x L O j E 1 J D N f b O 6 A 6 y Z Y C a o r e o A n e I Y T r U D o W g W F K P l 2 C z Z r L b l u n n r 8 t h k I p o O m 8 L h K e 1 a a e K z M j L 3 h d k f b O C H J i 3 g B V y 7 J H W 6 W 9 c A S t a j z w 0 G 6 X p c F a 0 5 Y X L W J H Y 9 q 0 q P + z J T G / h J c G S n 0 u e + u / / t u / d P H t 1 9 + S B A t b V 2 + 7 G 6 R 3 7 k y p k T V 7 + N S 4 I J s M 5 a V 1 N a x h 7 W K m o 4 e 6 r F 8 D f 3 B k Q t h T 9 0 g a N Q S P 8 O w w o Z l y j 0 / N O + / K 5 X d t R z C p I C z c 1 9 1 h L 7 3 4 Z 5 L + c 7 a 7 s y Z s m n b p h h v 1 9 r 1 J 6 + v s E w Y 2 S c + E j f U P i U Z q 3 m F 4 z b C v + s R k / Z 1 d 1 t s h w y 8 s i V Q P i b i n L W b M 1 4 h 4 Z F d U x e D i P 8 G N s D T N h g h 2 2 / o 1 u A s i 4 I b e V V d P x 8 T s I + P D 6 l z B F q n z r O y z d u H v Q d k r O D w 6 N a D p d I d L K Q z 6 L r 1 z V D Y K n s u t j X X r 0 4 A e G B v W o O 3 a t r R w R j Y c n q 2 C B q 1 S 3 t W g 9 9 u o p C m T l s x P T d 2 b 0 s C K c G R H Q l R 9 s t 2 6 Z d T 3 6 U j r Q J p X m y X L b 2 + K k L B X N c C 7 e Z t c v G O Z w p o t r q m N 7 S 3 C 6 M t W a Z F 0 V P v S 7 V F p j F Z p u A C 2 9 v b 0 2 Z X K a b u c e M G u V 4 / a p e 0 D N t y 4 J V g j Y g N S S 5 J v i b D R E G l p g K t X L z v 0 A v b l c n k J n b j b F 0 x U T 9 6 9 J V j T Z o V 8 Q c w h g Z U C W q l O F W m A U t b m Z i Y t J q G J z Q O E a T Y Q a K 1 i j G 5 p r L j a N + A a I C y o B d z i m j Y Z + b j F s X m w u R z 6 i d 6 6 1 Z d 4 1 D T A 0 m I I 4 W D + C 7 s K W I y d h M C m H 4 F 8 a B + E Q I s 4 K C P B i y D H c 8 z 5 S r U s L S I N J / O j I i R S F F O M i E k X F p d 8 3 H G C t Q v Z h F R f f B n x a K C x + K M q + I m p s V s X m B N D d u o Z 7 b G k L Y m Z u m T n x o S i y k W c X 6 t C U B 2 2 K z T F J H 4 h n 7 U u 2 a Q r q 1 u C i r I r Z b u F P / G R R y + q L b K F F u 3 4 o Q k R c U N S d c A G e w Q P y k u W k R F 6 5 u g Z m 5 C a f e a J Y 3 b 6 y J h 1 t q V t W X Y Q E 5 J b w p l E D t B B r a 3 q Y E k m o i E a S A A x F u 7 F q h q b 1 8 u R / t v 5 j B 0 / e s Q 2 Z O 8 g z Y t i u O W 1 T b t + 6 7 q k a N q S o p g e E T O e o p X V Z Z c o w D v s M / W D z u k + S a C S x G Z + K y N 1 L X U u S T I 6 0 C t I q I E S o 0 z J d s G j N z o 4 4 D A m L u 0 E P G i E p E X n l 8 U E q 9 Y v i b r b E O y T F G / V t U X 9 X h f k w F 2 9 n c u K U J q S u u 1 2 4 v B R 2 5 H q R 0 o O C R b g k Q S 7 t z Q j P r h I v p o q h E S E m P A 8 3 R P U i E l D R N T B t K N T W o A 5 l 7 L q P D Q w p I H I W 1 J G 9 9 E T p 2 x g u N + + / d K 3 7 d S p 4 3 7 t 6 N A B 2 b E i 1 n B c j K Y G S 3 i U J B K Z R 9 r Z k Y A p 7 M q G j V k 8 1 C b F E r W s C A c b I V G 8 a 2 v J Z 3 R D U N b r f X Y q u W Q t k r 6 P P v a o z c z M 2 O j Y m G v 2 i Q M H B V 0 z q n / D G c r n m / S 9 I S E G w 7 W r r q m u b h n j G x I 6 R d k a C W l i w X J J 6 h 4 J x r 7 e T t c K J T E G 0 x 1 E c V D H q L T / q p 7 b l u q 0 P / r 2 K 3 b 9 + k 1 7 5 p m n L S H G S o t W s G O 2 9 b 6 o a I W p C L z D T a G f h h o 6 P D j q d X I 3 u M Z w R w S M 0 y r Z 1 u k 0 B j x F u C I g c x J g F d m p / A 0 D I g A Y C + y r q M a S 8 U A A w p Q r g q 7 t G s f e Q S b v o 2 5 v I k z Q y S 1 6 D + 7 0 f r y 7 0 p o D f X 0 a d 9 l h 5 Z r a V r L x s V E J N 6 E A 9 S e C F B s 2 J F o q S 4 E g H P E U R v T M n b K g u y A n k S 7 h X / 2 l n 7 z I P E i 9 U r d D 4 w c F 7 a R + 1 W F R S c P Z u U V 7 + O Q Z e + j 4 A e t O h S z V K o N S 3 F w R L s C b 0 i p c i g R A G h T E K E g U x + X C x B i n e A c 7 0 i m H B r x j Z G R Y g z p s i z N z V t O I l H b y V h M D D / Q P C x a e k r 1 1 y w 5 P j K t i 6 m z B O 1 y j z D P h j Q r L m M J w j M f b 9 d 6 E H T 8 p p p R t B J E X x a z M h e Q y G d k s Q x Z X B 6 6 v r q h D x g S 1 N g T R e n 0 y s y y i I S p g d F h S V M w e l t a C i d 3 V I g Y q S g q e O n l C m j f i X r F d 5 l H U o R V J 1 3 p d G k 3 3 3 5 2 c d P s J J i 4 W t 8 U 4 U d G 8 8 L g G g n m z r e y W C C Y i m I V R X r a c m L 5 d t i B R A F u S + j u 6 l 2 g L p k O Z b 7 l x + 4 7 3 W V L S c k A w C 1 d u W b / j f g c o d Q p m p A V b E v E 2 6 5 W 2 T C f 1 X f X G G Z E Q 3 C z K h q o J k j L X t t L 2 H k N F p L l H a 9 c l g F b E C I J 2 0 u x I 9 p K Y c m V x V X 0 + 4 C 7 0 / v 4 + 2 Q 5 r r o H W 1 V f M 8 x E C t p n N 2 p k z Z z x s C t c 3 7 c x K 0 O D t Y + z p n / E D Y x p r J q J L I i q m D P C 4 h X T d l v p C B D k 6 Y G k J W z X K p m b m B R 1 F J 2 L C p K B z S M z F 2 E M r C D 3 m M J m c R q j M S 7 j j F I O p k J 5 1 t 9 l k N + s z L 5 i I w 4 W p h g 3 1 d c k n w V s l 2 K S f R N A F U E q i z T 2 H u O V B G n g m x 4 R K m F 9 E s C I N c J 0 T p Y P A 9 2 g J P V u V c Z s q L m H X 1 i a 0 J l s c o Y / T h D F P p S S E Z X M i 4 H H c V P S u H g m b 5 c 0 d C V 1 p V 0 m I 8 D P P P 3 Y x 6 Q N U t k t X b + q F k p 4 y 8 n K F r E 2 M H 7 e e z q S t L d 9 z K Z / Z 2 F Q H l 9 2 m I S I C z w 5 R B X B u v y o e j a L a s b a Y D g 2 5 F w p / P j g X Z m t X h R L S Q I Q e r U r K b G z l b V c S 8 4 k L j 9 q u n t s v L U g D 0 U b b w u J o A i a W k Y S 4 c Z n / y I u I 1 w S 9 B q V q I Z u Z 2 V l n 2 K S k J I y B g U o U x L q Y j c H f E L 5 n o K L S G E A K X M b u P p 6 Y E I G 2 2 9 r q o q R v Q p / r s m E 6 n E j K k s p E E K x J k z H x y X O 4 K y x Y V J S h L 3 t W n S / c n V l z x w Z O F T y d z H d M i u F G R k f E / B u 6 S D a n J C C S n z r y H I 8 B 1 H W b W 5 u C h 7 0 2 P T s t m 6 V i Y y N D k r Q J d 6 n v a l C L s h 8 m V E c m 0 I E o e Q m E c w + d t b z a I 9 N W t i c Q u 0 2 S v V 8 1 U 3 / J D s y 1 P W L N 7 L Q 1 t x c t 2 c z Z e H L T h o b H p T k i k s 4 x Z 3 j m c 7 C F y x I S + 3 Y O m i M p A s K 1 E N H 4 4 D i J C f J f e u c d m Q E D H n 3 S Q Q y k C A s 2 T 6 W 6 H O Y t S j j l t g u u G Y i C w N 1 O + 2 j r U H + 3 d a u d O I 7 w B o Y F o W C o L k F 3 J t N 5 F w w Q k f Z q k c 1 6 + N g x w d 9 u J 1 a Y i f Y i h I V 5 V L e k d c s U I c w L 4 o e 5 M I V w N i B 4 E t K w 4 l A 3 B f C U J i R w C V v C q Y U W w x W P 5 i X 8 i 2 d D t z B U a R e H S O A Z F N f 7 8 9 U 8 X S M b s T U p I Z J w 7 7 L P t e k 5 H j U j A c D 5 o v g D m w x 0 k + 4 I 2 d L 6 j j V E u + G / + s t f u j g l o s T m a R G H x c T p V K C A l B Q 3 w g i 4 B H e K s j d k C x B F k R R X d u 5 J i R F p B N Q v 8 y M R M R R G M d 4 a O B 0 8 R M N 6 U a V 4 D f V 3 S g 3 B C D 4 w O m r D A w P C 0 X i R N l R J 2 T 1 I Q D U 8 L I w a p X L q T h i K Q V K 1 X B I z l 1 U o 7 N j c 3 K r 1 y a B f W 9 + Q I d t j M 1 L t d A 6 G J B I P 7 1 J O 0 g w 4 Q y c w A h A 2 p Y Q X U 8 / s k h Y J q V 4 4 X b b F t I 8 + / r h 7 8 9 o k 4 R A O u O E Z M E J / 1 i U 0 V j e z V i 0 V r F n J C 8 K k / H n E g V X U J 1 3 S N n N z s y K 0 u E u 4 V j E f E 8 D Y F T 2 y c Z C M z K 2 o W d 6 n O A E S g i r r G 2 u u K Q 5 N H J D 0 2 7 V r N 6 6 7 b Z E V Q T X B V a g C f S b i U f W d n i u B U R V 0 F K x 3 I U P U g h 7 l L u X O w q v W U 7 l q A / X b F s 1 e t h U J l e O n j 0 s 4 l m T K J K x b z L G w u K B 6 F U W g s u M E U Y G m T X f n 4 t q O u p O E e a 6 Y C P 3 c u Y e l L e Z l m C + J K Z h k l a 0 j W + G V V 9 + 0 p c V l G x L i m J y c t Y O H D s o E W F J b 1 S 4 f Z 2 l r E W B S q A E n 1 d a 2 o L g E M p 7 f 1 T X Z o d K O I 7 I z i T 4 h j j O k Y 0 t j x Z z X 4 c N H n J g J p K U f s 6 I f B G p R 1 x K m F j g 0 s o 4 C + k V 7 O 6 J T I B 1 2 U k X j S K A t B S b A A 0 0 w L u 5 + g l p x L h D 0 4 d 5 O r p c A Y D y g k e 1 c T u M j J t M 9 C F 4 8 f w l p 6 o Z o M J v d V v 9 J 0 O v 5 w N p 8 b t v n n j r E A y F d T L B s D l h e V P 9 8 8 Y V n L h K 9 W 6 4 0 N A C L 0 k Q x m 1 1 d c s m x u L w h K d g h + L T p F f K A U i k f g i 1 x m z J P w B z F 5 u a q T z J G V C G 0 F 4 Q N w f T 3 D 7 m B H 2 o J i y j X p P n Q P h U 3 h g l r w j 4 i w i E j j R M R p N n e b Z F 9 Q 8 x a v 1 R o T p 1 E J L q I U o T E w O y I k R A h x 4 4 d s e y W J L I 6 d k B 2 U l 3 M u + P Y X K p a 8 I h I 8 k 5 B n G a z I i J F o s g 4 l j 3 T I g I E 6 8 b D U t u S f k z s t U u z M M v P Z C I u 2 K z w + s H R c Y 8 U 2 J D W g i k w / D G U o 6 p / V Z p j i O B M D f K O o C 5 G f 1 w 2 Y y S e 9 I l t b C V K T s 9 Z X J K t 1 j c o P N 9 h 7 b K j 0 L p M X g O T M M K Z R F 3 d W n X i Z k J 0 R Y y 7 i W t Y A w x R Y n s B n T s l 6 Q k X i o m 5 K j s V M b z G Q c I J K I d j p y K 4 g q h g H q 9 M f 0 l S + 0 S 6 6 k s o V r c M 8 p O n z 4 j A 0 C S t E k L r 7 u 3 U 8 O s 9 Y d c 0 x A n S T 9 N T 0 7 K R 8 N r K L h A E B n b F B b m B W T g 3 w B 6 D E p B 9 A z 2 C r y X B 5 3 5 J 6 Y i l q J P q x 7 j j Y s Y W Q S h u C G 4 x P 1 b Z b d q C 3 t P W l v L x R z g z F w U j 9 E g g J j V e a H A 0 z H a h a I e O H F V d 4 8 4 U / f 3 9 f i 2 u f o Q T X m S u G R k e s c 3 t v K 1 K q B J g G 1 X 9 N w T 7 e S a O o S W Z I 9 y H B k u 0 t b r g R J j j / Y P t 6 q I / x l 0 8 J Q Y q S W h J G K o d 2 x I 4 0 D s C r 6 Z + x i 7 G 3 m J 8 o W 8 i X 4 g V 3 R Q K S Q s W t s s M q Y e L N r s m o f T C 5 5 6 7 2 C c G a W 2 L W 2 Z l 0 7 1 R q 9 l N S 4 a S d m d 1 2 Q 7 1 j V h b W u p 9 c c 7 6 O + N u 7 O H d y I m g O 9 L t I j w x k i R T u i P l U I k J U Q I 7 2 5 I d T g x E K x D L h 7 E f a h A K V H U C Z o 5 h S / C F A b s 9 t W i T 6 x X 7 8 1 c u 2 9 x q 1 t 6 + e s t O H D 8 q 6 C D I J G I s M z 2 t H g j s K v B s 1 d 3 I w L l j R 0 / a 3 d v 3 Z E S n J T 1 i E g J L D h f S I k a k 7 0 5 B D C y m x 3 j E U d E i o o N Z a o J s 2 I B j g l W 5 z J b F 1 O k 8 N y 9 J u L q w 4 B C J U C c I W 7 r d P V 7 9 v b h i t w R 5 0 t K c F Q 2 D t L G I G s / o / E p G 0 v W Q E x V a v E V t J G S G G D O 0 N P C F y V k m r Z G o V c H a r q 5 e u z F 9 x 8 Z F 8 C O j E 3 b 5 y h W f 0 B Q 3 i B D E x N L 2 T R G i G i 3 o L b g r u L m j e s N A S Q k 0 N O S b 1 S f s d s v j t m A P 2 W r 0 E c u 2 P 2 Z 9 O 2 + J O G J u F 7 a r r n d u 3 7 Y 3 3 n r N b t y 6 6 g b + q T N n b X T 8 g K R 5 0 z 2 Q E + M T F t G 7 c A Y N D w 6 7 N l w X 0 9 F 2 B B D a o V f a D D c / c Y s V C R g E C Z 5 V o l h w 2 S M o N m Q S w L R A u v Z U p x W k c U L S 0 M l U h 9 p T t h O n T t n w 8 K B r M 2 g D S I 8 N h 6 N n b X 3 F x x a n A p P J M 7 K z 3 7 l 8 2 e f I I H n X n m K g u / e m n N B j 0 j J o u G 2 9 o 1 O 2 5 Y U L T 7 i Q w 9 5 k j g o 4 j Z Z b W V t 1 o Q 3 t 7 O L Y E t 3 h j c Z x A U R L q B 9 L 6 t e a x h P b H C 8 z q E K 4 w G 0 2 Y G l R C i G G X V 0 t y g 4 v a f w 7 b W h o x L Z y m 7 I T R 1 1 Q Y i f O r V f F U J 9 5 5 m K j K d i y s 2 s 1 G a w Y 6 n U Z 4 m k x 1 t 0 Z D d P R U X v j 0 l X r T E b s 9 O n T Y g C 8 K 1 V J G i K H 2 9 2 u 4 u W s v S l J 4 m + u E Z s l F S 6 m D K s i q N 6 a G o L a T k m j e f e o k 5 a X F v 3 + Y k U S w z r s W 5 d m T W D S t u u C e T q O y Z b Z 2 p h D j r h a T e p e X L s Y z t h n C y v Y P u o o N R i 3 N u E t M O 6 a p D x R y k S e e z y d J C U x b G 2 y 3 9 C i E 9 I + r 7 / 2 m q t 1 b C b s M l z A b e 1 p j 4 f D G M f 1 T x Q H B n A E r S o C I r Q G 7 Y g d k B C G B p 5 B 4 H q M H T 9 x S t B D g k P X Y 6 d A P B B e 4 O a t i T m R f D F J u K I L E y A H j p a a 4 M t S Z t X n 4 u b m Z v y + X h E Y 1 x O 4 i V + z N R l T G x j Y h q 1 v r U v T i l x x j + k m 3 L f 3 7 L z t h G R 7 t A j f W 1 y 9 F b W H 2 m X z S l j g R M F Z w J y N T / 7 q i L V L W + v + N S I m 1 F + 0 B Y / p l q Q 2 X k 7 m p S Z F t N S T N q J N 0 H b z 8 / P S S i M i z I S 6 I e y w j P a N j 4 1 7 n + E A Q G s g C N p 1 D 0 G 5 w D h i P I H b E G a X + n t m e s r t G T Q Y K C W n e 4 s S V j u i D y J M F p d W 1 N f Z A O p i Y 4 m 5 s S k b 9 R Y 7 f v y E D f j 6 M s K L R G N i Z n 7 f l r B C e 6 D d i P P D I Z G X 5 i I y n i U i M A Z 1 S P V 2 q F 1 x X 3 7 B i o Z a k z h T a S f B 2 S T z L e o v 2 o w 2 w n S B S Y j c I O J D D b T G b l l 9 V X C 6 i z F 1 o / H s 7 e m V A N + U H V y X m S T G / / Q n z l 9 0 D 5 Q I l T i w j V z G H 1 6 Q d s D 9 u S H C r b Z E b W y w y 1 Y 0 C H R i W N o G j A n R M E c Q O B z a 3 B N F W A + u 7 H Q y 5 R y P k 4 E K l a o l 4 d a 6 X X j i e Z u d X 7 K R A 4 e F 1 X f t 9 t y m v X h j x a w s Y t R A R Q m T U U N X p Q G f f e S U x e r q K E m 9 3 R o z 6 d I W 0 J K k G F E d u 6 p D W R B s S V D i y K E j t q r P D g 1 W P V K z e Q k D 1 r W k 0 3 E Z 7 A W X c E C Y Y i 4 I u B w c G 3 P C F h R 2 k J L b l u Y Q P I 2 r s y 4 8 f k H P l u 2 G w 0 G a D Y c D U g 3 J 2 9 3 T 7 1 4 q F h 7 C d E C o 6 b l F h 4 t I X 1 z C w F p s L 5 i L g c a I Z n I Y Y 3 1 A d i M R 9 x 1 i 5 N e v v 2 u b q h N h P U U J s b q Y p K r B Z 3 6 L W X y I s S m t y U x 9 T H 2 d F P R D m l O n i D R Q T g Q 8 V 3 / I m p G k 2 D o o O F 1 a 1 / 9 c f d 8 u o g l s E K Y 3 4 q 0 x Q S L G o i y 4 t W F T M z M e r A y i C A t h l E U 8 b 7 z 7 j s Y k Z w e P H H I I G m g S J l R 7 B b W E Y i T Q F m V T Y Y P 1 9 / W K 8 D f g L b 1 x V 0 Q t G 6 i 4 L S 0 P L C r 5 s p Y d S W 6 8 Z 7 S P U C Y Y m N 5 G 2 2 N j h d V G X N m E M w F j B w T t s E F T 7 T i T R K S 7 F T s w P m 5 z Y u b x 0 Q O y K U W w 6 o c T D 5 0 S Y i J G s C a m 2 v S I D J x k O C U G p M W Y G m j o 2 Y S m M Q b Y W z t l M Z 3 6 E 1 c 6 D M F 3 I t 6 p E 7 A 5 o p 6 D S V i 8 i p 2 2 K 7 q A e a i 7 R / R L Y N Q Z J w l R B E a 3 a A U b S n w q t L Y l X h B 6 C g v 2 f u F z z 1 / M i c j w p u A O H R 5 E C o F R y 8 K I R c v k K v b I Y 4 9 a Z 3 u r C L B V O H 9 N j M w a m b h 7 e o A W u E u B A C 3 q X e y Z N C t S p T p x D 2 P I 6 W 2 C E 1 0 2 f G D c + k c O W f / Q A Q 3 W l p 1 / / F m f c H v h s y / Y O + + 8 4 y 5 z 4 I W U l g T x r p 0 5 M m L 1 U t 5 6 h 8 b d Q 8 P Q A d 8 I 5 U 9 K 7 Q N B I F g 0 1 m N P n H e X N W t j i o I 1 2 A N 1 d V 6 h R N 2 i w t A p d 2 + H 1 H l 9 h J I I A 2 M T 0 M F A M Y I f M 4 I 5 N U G u W z e u i y m w l b o t J A F S F f R h z d G C b K K p 6 X l 1 e t 1 X k 0 r 5 2 J k z D 2 t w V 6 m C S 1 o g F J P B r a 4 9 I y 7 p 0 c o I I r T 1 3 P y c a 8 r z j z 9 u L 1 5 5 2 4 o S M g 5 H 1 N 6 i i D 2 u 6 x 9 5 6 J z X D 4 J / 6 s J T 1 h 5 J + E A j 8 S v S k L w j u 7 W t / m 3 Y Y m n M w s l e e M k L D D X c E G N I Q s N 0 w J 1 7 0 g o 1 a T M Q Q U w a t 1 N 9 i G 1 L f y L 8 F p Y X L E N E i O q Q E 8 H g J A G p J D T e x O l h 4 6 q D r F z M 6 / n S g e o z p D O O J B x F w H a 8 Y f Q j A p Y 4 S e r L s g q I D i j p m l o C F u E N / E Z D s y w D w V H V M + g D k A h O H s K R W C x K 0 M D G 2 o r 6 j q D Z u g u b 9 h R e Q 0 E 9 M Y 1 7 6 8 R g + Q J O i p g j F D y t u P f z o g H W i v V 0 d U t R 1 B x y I / S 3 9 B u T u L j b c V r h o U Q j p d R O n k X 4 H F 5 F a N x X W 6 j e O G 1 w x j A F V G G 6 S N e m B d u Z W 5 2 a n n V B T N h T P d p h 4 Z / 9 q R + / K L R i 2 2 K q u h 4 Y 1 e A B s 8 r l h i 1 v b N v M Z s W O H h j S C 6 W V p K I h Q F Q 7 6 2 D 6 e / F e i d P V C c C x R E K G Z S u r b 3 c k A U S s I g 4 M x R 1 p J x h v W x V 4 V 4 y T E Z R T v 9 j 6 0 o w T 8 P / 4 r 7 5 q X c L o o j l b W s 9 I 3 q k e k n z P P X L C Y g I y D E B W k o h B R e I g C Z l 1 d 4 9 j s t V h H O 7 z f q n f h O q X 7 k h a n y Q q 0 R L Z v D p V U C W 3 X f S 5 K M f X k o g u I U U e v T L A o y I M 8 H e b 7 K i c 3 t M u Y d D e i W t W Q k I d e U / a b g l B I j n G k v 6 h o T 4 N T r t 9 / k d + T s w W t V d e e 9 U + + r F P u r B J p 7 o F G X t t f O K 4 i L Z H N t 4 p O 3 r 0 h J h 4 S H U o 2 b F j p 2 U X R C 3 V 0 a 8 + E h P u 5 O h t a 2 r g T o y M 2 7 N n z t u o D F 2 8 b b e m 7 + m d T R n d a 7 a 4 s S Z 4 u O H t S g k J A K N x b i y H T k t y a j D L 0 g Y 6 a u W i r X d + 2 t b b n r H + y n f V j 2 K g T m l z v W V p Q 3 a K J C q O i 7 D + N U S Q h B v h T W M C O M b f Y o i R g T E J h V 6 H R 0 B n v L S B 1 j W f o 0 J 6 E / m N A M V z h z e Y 3 7 A V o Q O C W 9 E Y a G 2 W c z D n h 2 B x u 1 M 0 x j o 0 0 A G C F p s J G w n i h 0 m A 1 y y h S E l D L q 4 u e X g S W j C j u q M Z Y e Q 1 2 U W M H 1 q U J S 1 F 0 Q H Q j G g f n s d 8 J W Y F 8 3 n Q Z 4 u E / K F D B z 2 i p a F + g P l h Y p b I E J B A X X g e T t V u o Z F N a R y W D z V U V 1 Z l E 7 W P M y g t L c t U A 4 I T 5 k M r g 3 Z Y P h P S 8 9 o 6 h i 3 8 E 1 / 6 S x c x / k + c P G O n T p 2 z n s E + 2 5 i e s W K k 1 f 7 9 n 7 9 t a / m S H R 3 u U o e X r S D u Z k Y Z w j t 5 4 o R X A B U P h x N m s r q y b j u V n F 7 c 6 V 4 c 4 q T A 1 k u S 7 F 2 d a Z u Z v C 2 1 2 m L t 6 v S w K o D X b E Y Q 4 g + u r Q p O b t i y 1 L y U k 7 u L W d L w 6 C E N 5 P a W S w K c B E g 8 b K Y D B w 8 5 j E R C s S p 2 c m p S B q Y M 7 M 1 N D Z 4 G T X q Y + K q 4 O j n V 2 y O C X H d 4 w B z H o J g u H B c E E F Q k u B H 3 J 1 H k D D 4 Q D q F R q 1 c k 5 b b t 3 t y K G E Y S V 0 Y 1 R i z Q t r u n 0 4 X D 4 v K y f e R j n / O I k b O P X B C U G 7 K r V 2 7 Y L / z C r 9 q 3 v v 2 K H T 5 2 Q s / s t F d f e V X 2 S 0 S 2 w Y I N y 4 C d O H z C 1 j J 5 O 3 H i r O B p h 1 1 + 6 3 U 7 d / y 4 h S s 1 G 5 P m 7 G X F q P o t o 7 7 G q E + I Q G B e X L 8 Q 5 Y g g 4 y H Z L e M j o 1 Y R F L 5 X k C D C 7 S 2 i 4 Y j 3 T K C o v P T t v G x x a c m o B r + v q 1 + 0 L G N b k h y i x t e R 3 c m 7 v Z F r O W r z / X / V M u n n b T 3 1 n N 1 r n r b I 7 B + p L x s a w 4 J H o 7 M 8 p k W E F x Y z Y 8 w z X 0 X Y F N q 3 s 7 t H B L k b h B 0 J 1 u L s w T v H G P V I 6 E L k n A N R s M q Y q A w c M 2 h y V h W w j B 6 v Y 0 T P 7 + r r 9 4 W F 8 7 K x N 3 N M 3 I o h R D N 1 j Y m k i A 0 O B N q Y u c 8 x 2 d k g B z x v 7 j 2 V S c C S E k w D 5 p a w y w J v K V M 8 u h + t G Q 1 W J u M 8 w o u I 2 x 5 v M 8 u F o G v m M f F I 4 6 J n d o p 4 V Y k e M W + X Q 0 l R p j N s I p 6 U Y M h L I G E P t 8 l O l W B o S V r 4 p 3 / m S x f H B M X q j Z C 9 8 + b L 4 v 7 l w N W Z 6 r M 3 b y 6 L g J u S m g c t 2 l K z 9 d V l d U I w g T q o g c V B A U M N D g 3 a P R m y S B x C O g g i x R M T T C T 2 q m N l U K 8 v O 6 w E c 0 q 2 e e N 6 e 5 O W r Y T t 5 q 1 5 q 4 Q 0 2 D o N k + p D k q F h p w 4 O C s j m b E u 2 D A 4 G Y q z w M K y v w d h R 1 W F E U i l k S U n g v F Q 6 I S X t k i Z z s 2 B / g i p r l u 4 k L K Q g i D Z k Y 6 O 6 X s / e V p 0 x j G s a 4 H J x S 1 K v E G g v 2 W 3 Y Q S v L i 7 7 Q b Y d n S O 2 z 1 I K Q F y R d M Q f s k j S T 7 g D G / e m f / L F 1 d 7 X r n Z N i 4 r J d v 3 b Z B k Q U q X S r N F W b d X S l L J P N i F F z Y q g h S d 1 V m x V z X b p 6 2 T 7 1 8 e f s 5 u V 3 7 a N P P m l t E k i t M r D z E k R r 0 k R z Y t g q U F o 1 3 h B h l a V B G m o 7 s / 1 Z S d B W C R g E x q 3 N d k F k n R e R J A a O Q W v 3 S 3 / x u 2 7 3 M G d W F v O R o A b Y h G s b s d 8 7 0 O d 9 P l V 5 z i I a 7 6 D n g / J 3 f + F 5 e / T s Q 6 4 p 1 z e y 9 u T T z 0 v L m c M q P I D 9 g s N j I 8 O W l j Z n l f B g f 5 8 I L e f O A u I a C c s B 9 h J 9 g v 2 6 v L I q 2 N 3 m r m w 0 A h 4 4 E M B + x D r M t y W C z Y q A b 9 y + 7 d C z L C Y A P T A Z y 2 p t o D Z I A r M C O 4 f 5 x V Y h F M 5 V p Q V h J u A g f Y F 9 j W c O + x F 6 Z d x x p N F e V q B T m A q B + R q C d 8 C 4 u u x 3 p i K g T e b Q E G i + 8 F G C G 0 G A w 8 W 1 u W g O B U J S G u Z c G Q u g K / O 3 4 f / 0 r / 3 K x R V J A 4 y z m Z l b j l + j y a h d u 7 1 s M 0 v r q k j D H j 4 5 b i N 9 a a n d D d d M G H m 4 w 5 H m w y O D 7 i X L q N M x A l k L R c D j Q E + f r b G e R 9 L m 9 u 2 b H g U x M C i V q C f W N J g s 2 4 g g I W o F u 7 m y a Y V q U / e q 8 9 T J 1 p T q V i M T G p y R 4 T F b F U E m B f t Q 1 z A n 3 i q M Z d S / O M r S b X H r k R T i + / T 8 o i S Q t G i y z S Y O j c m I 3 L G + 7 k 6 H c i x n q I n o V 2 W U U w q b W R s X n C 1 K I z D P V Z K W w M P G n M q u O v P R 8 4 8 J M h T t 1 I n D b p B i i L I A 7 Z F z j 6 g f D t r k 3 U l J s 1 n r F t N u Z X C 1 E 6 m c k / Y Y l F G 9 Y n / 0 p 1 + z d 6 6 9 b S u b i 2 p L i 6 3 q 3 F Z h w 1 6 7 9 F 1 p o F V 7 / d V v 2 b O P P 2 q 3 r 1 y 3 v G y i q l B A R l o 6 K c n f E O b V c D n U K q t L C i I u 5 k e w e T S + G n g S m R T t o f 5 t G 4 z c t r R t 2 H r 8 r L d r v 4 x W X 3 O J S 3 + p o w W 9 8 T K K R U W Y P T 0 s h t y w G 6 X P O m E H D P V e e S Q 5 Y / / s n / 0 z m z h 4 0 N e H T c / O e H / X 6 j u 2 t L J o N 2 5 c s y M T B 6 y h + j E 9 E B P z z I l e i F / s Z i J V s L Z D 9 k g q F c z d Y b c m U m k 7 d + a s j b i r u e D L M X B U 0 S A C A T p l Z 8 9 I k G S 2 N l z D E e 4 E K s C W P H T w S B C 5 r + v x 9 K K N m G x d W F m y k O g N + E k Q A M 4 T a A M b m 2 k F l n o Q Q 4 m b H k S E M A m 5 x h N T 6 X 6 0 v k j N b b w a k 7 V i 9 I q g K b Y n k S F l M d F I / 4 B 7 Q 7 H F c Q r V Z b u S I w V P p t v f u i 7 Z r u t V t / B z T 5 y 9 i F a q i 5 H 6 + r r c K G T m + J V 3 7 9 p G Q b B K k v i E N E W j k v e J U G L W e r r 2 s t S o 4 s w a r 6 8 T 6 R C z 2 c V F j 3 x 2 g 1 U d g b e Q d U f A l 7 Z k p + D R i o 0 K r r E A b L C / 3 z p b 4 9 7 4 9 r 4 R m 5 q c V 4 M i G k q J E B E 3 6 / X n 1 z f t 0 u 0 Z S f x u Q R Y N U L x D f S D L R + o a N c 2 C u b i e U Z c B m 5 V 0 2 5 F t M K x r M Y Q Z C C L W i e B Y l k Y A 6 2 Y y W 6 p 3 2 d 2 w T U F C D H w k H + 5 c F k S y h q h Q L K s f e h y P n 3 r o I X W a p J 2 Y C x s y F g v Z 6 M S Y r W e W 7 d L l K 5 4 v A 0 0 H I 7 L 0 R U r A t e K E r r k 6 f d u W t t Y d c m U E W R f X 1 m 1 h K 2 P T y w s e A D y k O p 4 6 O G 7 L c w t i 5 r C g Z d O D i q M i I l z z m 3 n Z R Y K K p X r J c y C g W X B v h G o i i m p Y 6 E C a S p J 5 V e / I y i h v j 5 r N 5 L q s r T L v q b F a i o s 2 G l 3 Q f X V p A W n / e k Q a m f V N L H s Q c u j s t H s r C S u 0 B G v B P s h Q K + / + 3 1 W X h l 2 5 + p a 9 / e 4 r d v P O J V t Y n L S 5 m S k r Z i T g x K h T Y r J 5 M c C 9 m T k 7 c O S o j R 0 8 b F e u X f H n s a 4 N W w s n B D y z L V v 2 X W l v 3 O R M + + M A m 1 9 c c A 8 j j g K Y C T R w 4 9 5 t 2 T 5 M 5 k s Q i N K x V R 4 6 c d q d H Y w h U z b F i m h U G o Q w t J q E g 2 t E M S 8 u f 5 w k R M u g x d D O T F B n i a + M S g l I K K K 9 2 k T 8 + / Q r r p L m a x E K C e J U W W R I I A G u + F 0 x X a V U E z 8 E y 0 L w 9 l I f 4 v r w I c B E n R L W 2 H 6 E 1 M X 0 j v A X P / P M R a Q p x v 3 0 9 J R 7 g l b X t + z K 3 Q X L Y 4 5 I T p 4 8 N O z R B S w 5 g F F Y R V o U F 7 / y 6 q s e t + a e v X T K t Q 4 u V k L / S 4 J p e P u W p e J Z D s 9 K 0 1 p D W L c t 7 U G s a a n j z c 2 y Y E i / d S d F X K f O 2 j u X b l i 4 I c K R B A Y + u S g O x 9 w d / p i I G x t n R 7 g f K Y K a R 6 p s s w 5 J + B 3 7 o F W d W m Q S V e 9 m D o k w F 2 b Z y Q / I e h s M 0 V 4 J A 4 z y E U l M X 8 i o w U N a Y l T X 1 c k A o j g h W G L u u 3 c m B f t k T 0 m 7 M a W w K e E x M 7 M o e L f o u L 1 V W p D J Z N y 1 B H s C N z o E 8 7 D j M i I Y c D m h Q i 3 q M 7 x Q D G K H b J C n z z 5 i S U n V t b U V E Y o g i y A k b t 5 R 2 U a E c + F x B O 4 Q J x P H h a z 3 8 x 5 G I 7 9 Z t F / / y 7 8 p e 7 Z q 8 3 P r d v a x x y 0 e T d n Y 0 G E 7 1 7 d u v c 0 5 O z + 0 a 8 c 7 8 o L n / X b 4 0 H E b H p q w x y 8 8 o / G d c 6 H S I q L C M 3 u l c M E F E w z Q J A i 0 L P t j 7 x g I 3 7 L F x V n 1 v / p F O J y o C D x l O + q v Q 0 O j 9 h N n n 7 a 7 G 4 u 2 I f t z b T M j z Y X 7 p G 5 X b 9 1 Q / Y N A 4 j 7 B 5 8 v X 7 q j e e I 0 l I M R K u e 2 s r W 4 Q y i U t J O 2 f 0 b 0 R 0 c J 6 Z t 1 u 3 7 2 t f p C 2 U F 8 T i c M U y J P n n / C I i L B Q C 7 Z w T d q E C V 0 0 V I p 1 e O o f d 0 q o / + P q Y x w H e G u T E h z u L p e N h a M D h i F q J i V a w z N D N I n g k D t I s M 2 h p 5 j G i v k 6 7 C e y R e 2 H L 7 F 2 i 0 g R Y C G r h b H B 0 I b k O s S 1 T + Y n b L h d H F 0 P n x q 9 m B R k Q j H w Q j A t I U e T C 7 I t J A 0 x a j 7 6 x B m L q 7 u S k t B 6 t y 2 r w s S 2 M e n X I w Z i w S A d D 6 5 l o R f u x i 7 Z D q T E m p t b 8 n U r h P 4 T 6 5 W R n d L b H R i J M 6 t L k i 4 V O 3 j 4 t I h 2 2 X 7 k m Y / b U 8 8 8 b i 8 8 / 6 y d E l w 7 M j Q k Q n j S r l y 5 p Q 7 f l M H a Z n 3 p d n c 7 0 w A g Y J v q T k c 0 p Y 6 3 d x o 2 L o h C p h v e z d J 9 M D i h O 3 i R m A v p 6 + 0 R B O y 2 z f W M c F P D i K 9 j S T 4 u 5 E 5 p K + a k F u d m R c A y w K M J n / t g 7 R Q G 7 u z 8 g p i m q n e 3 W r q H y d Q W G 3 D n A E s o y g 5 R 2 q X J y K p 0 5 c 5 N u t Q G u 3 t V B 5 Y + N O 2 I 6 n Z 4 d M x C b t 9 V r F t 1 I V i 0 X 8 z O S t S d Q k n 2 6 6 r a R K R E S f C m 6 k 4 B p D W u a p Z t h 5 u q 7 9 y K v f D Z L 6 r f i 7 q W t F 0 N E U J c 8 K b X N l c z 6 t 9 B G x L R n z 5 1 x m 5 c v 2 V D g t q 3 Z Z e Q Q K c o Q 7 p b N u e 3 l 0 5 J g 0 j n i W j C 8 X Z n V v p D 3 G A n 2 2 9 b e y j v q c g m D h z w Q O T Z 2 T l 3 z J R a d h 1 + M k c z X d y w p N q K E 2 k t s 2 Z 3 7 t 1 S f 4 p Q x V y b 6 2 t 2 e + q u P f e J T 9 j 5 R 5 6 y 5 5 7 7 i I 6 P y p 7 c t l w x 4 1 5 A 4 F c K + 1 d 1 g j D x 5 i J 0 E k I d O K G e v P C 4 h y U B 1 w h c X V i Q k N d 7 0 S B o b F z f I A k i X J h m S I q h y K f B G r x W o S O C W K k z n m Y W L Y K i 0 H I I Y t b a M e 0 D r G N 6 B 3 o K S c N I / D n s B z m 5 s N H Y g z p Y x b w h J D Y 0 M u Y O L c a n S 9 p p n b A 5 0 R 9 h T T i O w h 9 5 + u x F i A p X N + q U u D t y q t 2 c X r V i X c Q k Y n j i 3 C n r T I h 4 J O l Z J k z C k A X Z X X 2 S / u B G Y s 9 w Z e P h q e 9 K T Q u j Q q A k 2 S C p C S F H F W k W G A s X 6 r R g T l 9 3 n 2 B g W n 0 v T V T Z s q b w 0 n / / u 3 9 k r 9 6 4 K o Z e s + t 3 p 3 1 u g o D d a 5 P T n h l 1 T h L 2 8 O H j 3 l m o Z j o F p p m c W b W F 9 W 1 7 9 d a y f e e d G 3 b u 5 D F P O E J c H N 4 e Q p H W J V l Y v o A N t y M N C h P S A U S R 5 y Q 9 O 1 O C P 4 I G L b K / m O u 6 p 3 d t Y V C L 4 D B w W d P F p G + X N F y H i A g 4 k y 3 s 2 v L q h g 3 3 d 7 l Q A W a m k z L S h b N v T N 3 z S d y C N M K h Q 4 d 9 o n u 4 b 0 D S c 0 3 E J O 3 R 2 2 3 t b e 2 C y x k R i S C r C I X 0 a C 3 S H M N D A y 5 x S T w i + e X E h S s / J Q J h s h x 7 8 K 0 3 X r f N 7 I o t L E 9 q L O 7 Z 9 O Q d 2 8 6 u 2 a E D I 7 a k s V l e m 5 U 2 v S 1 N n b H F p W l J O y L B t 2 x A d Q U B v L 3 M q t q Q h C A a F O 0 n 0 a + j P Z S z R 7 p m 1 H 9 A X R G t m D w j T Z 9 U X U c G R 1 x Q V i X V Z 2 p i A h E n 8 Z U k x Y G 4 M O 5 / / i s / a + s r a + p H i S Y J 4 J n l O T t y / K i 9 / t b r 9 u I r 3 7 Z 5 I l x S U S d K o S f R z 6 4 L 2 i T t k 1 b h H c P 9 o z Y q g Y D 9 U x D a y O a 3 b G 5 + x r 2 x 0 A 9 Q K y o a 8 K k P K Q B W I 2 N n 4 d i B G X 1 t X l u r G C f I X V E V 0 / A 3 t A y N e 2 J V M U R T D A P j Y E c h t H g 2 J g 3 R M 2 X B b u L 6 M H / Q U r j R y W + B T Q o t 4 H n E h 8 A 1 / E 4 0 B g o m / K U f / f R F w l o 8 W t c l p 7 g 9 m r T L t + d s V 2 q W C b b j B 0 e s P S J 8 K Y L M S W L m J S 2 w X 5 h U R a L g K Q F n I h E i g k o e 4 6 d O y G 9 L j Q r i k J y Q J c U t g n O t u g 8 o x 7 t I m p G M y x Y K 1 a 3 r 6 J g d 6 + q x M 4 8 + Z V / 9 9 s u 2 k i + J W J b t 6 t 0 p w Y A Y 6 E f W X I v s t B V 7 6 / I N G x Q 8 m l o T B F v d t s 0 K 9 l b O c u W a 1 W U M H x 3 s 8 J W 8 2 A / M m 2 H 4 4 h H a E m P x T A x K p N z c 4 r x P Y q K h m V t D k C D N C O v v k O Q c E G Q d G h q 2 w + N j a p d G X y X Z 0 a X f G 7 a a y d u S b L y E C C 2 X l a R m k l v M j 6 Q j 0 S b L 1 Z O 4 U i V g R g Z G f X 6 m K k h I s p T g P Y F n C 3 t i U / B w S c 9 o F z H A U L u S v P Q P O T C + H f 1 P b D H 8 p C 2 E n r D F 6 F N 2 O P K u L 2 X o 7 x X s 3 t m y e r Q q D Z y Q M d 5 p b Q n W G F U t l R L c i T a d g H Z K B d s u 5 V T P u J h / w b r 7 g o D b 6 2 s 9 A U O h n U T 8 + 8 e z n d + R J q z Y j 3 3 + p 8 V U q o 8 I Z 3 z w o P 3 S z / 2 6 D Q 0 f t q b 6 + r M f e c E + + f g n r C P R Z a e O n r G x g c O e 7 2 K 0 7 5 C Y v l e 2 1 H E 7 d P i I 3 Z m 5 a / V w z W 7 f u a G 6 Z q 2 o e k Q i a r E I E 9 j O + B + a O G Q j Q y N 2 7 M g x G x 8 d l / Z U 3 8 n O I p N W S v 2 P T X T l y h U J N u w x Q r o k 5 N 0 N H 6 w i Q A z A E K w W Y O E r r m 8 E G 0 H K / A a T M y H e I + G P t s l I y M M U M B C a y r W W r g R C Y h u h 8 R h L o U F p z m 1 3 P O B B b N f 7 0 M p 4 t o k J x c x x T S k 0 h k 3 G M 8 l j G P 7 C p 5 + 4 m E x h x A f L m q O y g 4 h F v T m 1 o s + 6 J H q L P X r 6 o N W 2 l 9 Q B U q O t K V / Y R 2 e A N a k w 7 k o a Q R o t J B m e Q j p i a x u Y J / g i d U y u 6 I E e 1 r S g s k O C E e P C v E S w h 6 0 7 m r a 3 r s 1 Z U w N 5 e X H N j g x 0 e m a h m u w i X 1 m p x o J I K o J 1 x W p D j B W y u 7 J l J t e K t p i t 2 H o u Y G w G q t 4 S s W f O H b P C x p K k Z p d H z x P e 0 i m t g p H a 5 o 4 S Q T n 9 C 5 Y j S C N L i L g 2 k a b Y U a c U J N U g N t Z R 4 d S Q B L B p M f K m f i + I a e e X V v R 7 i w e s W k v N V l d X f O 0 P U Q g 8 O 4 Y L V p I X A 5 z 8 F 9 F Q T H U j h I 5 Z G x P 2 F v Z P J l 2 r Y T u 0 J K Q F 1 S r i K Y k i Z 5 6 r I K 2 Y F Q O u J J 7 V H e + V / s o r g i X S o o K d E A O e z U a l 5 i t i s R m Q 3 l t 6 J h C R u Z I 1 a U A g e J V E C K L K q q A 3 A z + d F 4 E l V H 8 n u + B 4 t v O 7 k v S 6 X g K l r 2 f A + g d G P L p h a G D Y N q V p g d 3 x h G z s l V U 7 c O C Q i J a I A n M o P C d b m X Q G b R I K x W 0 0 v e x A M T N h U n 0 d f U I A H W 6 z 4 n F N p X u t K y V 4 J O G X J K J E n 6 2 y J S M a X 9 D E o r Q Y W X w 9 j l K a B N s U B w G B w 6 k O 8 q 2 L 2 N 0 p A F Q N l s 3 D H K z 2 Z d 6 T 4 G G c H q q a x l j N 1 j m + s 7 6 N C B 5 c 3 C J c R 1 S M P / n 4 8 I S 6 h o J h d Y 7 x 4 h 5 P V q R r m S 6 q w X A S r D i h S E Z D v 4 q K R M 9 4 A J t i L r 3 r R 1 9 4 7 m I i Q d J D q U K p / 8 3 N v K B N u 1 2 6 O S k b I V i r 8 u R D o 9 a X i k h C a F A 0 m K g / T 8 w i a a D n W L e g I C t D u 7 t 6 X c N 5 s G E y b m u r Q R J D 8 u s x 9 1 O X c d g r m M c 8 F E u n y f w j u r P M L n 7 9 N v u X L 7 5 t s c K q / c w n H h a D 3 b P t R s w i G h h x l D W k o s i h R m m q n u o + 7 1 g Y S E r Y z h 4 b E w T K W 0 W 6 a a S 7 z Z K 6 G A c B E 9 H E 9 D G / Q J Q B 9 g x G L 5 2 J M w J m A i u j v g t 4 z j R Q T d 3 T J U Z i 3 R U J U 9 g I I C E C m F / L 6 B y 5 C g a d M N p Y t i E J j t T C i I Z 4 W K y 4 v r o u j S T t U J G G j p I m r O R 5 z / t 6 + / W e i p i y 5 B 6 u O R E N R j S B w 7 j j W 0 V Y z J 1 U p M m 3 R E Q R 9 e 9 y 5 M m g 0 X u l u / S S N U X F L D h B a z M t w T I P 8 t M B V U n Z T J v L 0 r h t G k e W J 2 B n k n S F i V 8 W k u K Z z O 0 K y t R I z k 8 i 6 Y Y 9 H v + m N a u E 1 W D H l H 0 D h V u 3 b t m c 4 O T N u 5 d s a v a O b W Q W x V R L s q H n b H Z 5 2 u Y W 7 t n U z C 3 b E N Q s 7 2 Y l K C K C m / d c w M D U a A t s J e o C w 2 O i s W Y O K I / Q Y C 6 T 1 c f Y R 7 O z M z 7 / i f P n y K m j G s t N o Y M B 9 e W K z A K h I N 1 c E s T D n U 0 E B A t A W S f n r m o x A I 4 B B A p I A l O A u S u Y r K e n 1 4 j s Z + a J 8 4 R F A R W B b y A s H A 9 o K J 4 B M 8 F E J J I h b A u h y V w U z F X M b 3 u s I b Q C c m j v a H O k h U O H O E 8 i M / B O h 7 / 4 u e c v s k j P 0 z B J Q 7 D M l 9 i + G 1 M L V p T R G h E E e f r x U 1 J 5 s g / a O t z 1 W N V 1 7 Z J O T N o i h U l 9 S w O 3 M l l B J d k X G j Q S 0 m 9 K o r F e C R z b O 9 h n y 5 s y m E V A Y N y 8 7 B i k S Z u 0 H F 4 s 2 X x 2 S Q b 0 b / z s j 1 i r Y M H X 3 p 6 S R o J Z R G C y 6 6 I N N V b 2 E r t D h N V Z T N X F R c z h q r T A g V 7 B j 5 D N y Y 4 K S R u M d i Z F o G 0 a R D G U O p j O Z S Y e D 5 o H h O r v / Y h w G I t O R d p j 3 O L m 9 U l f t Y H 5 K Q x + h A c T e o 8 + 9 r B n m i U b D 0 4 F 3 a a B C Q a B M K j O j p R 1 a s B h n G g i L H i 6 4 H C h I G Z l U p B 1 N U R p z + k 8 S y R Y g t G W T j o z k l w x I v u t V R J + V 9 K P Y M t d D d x K 4 r 1 l 7 Z Q j 0 S s O z S h I V K Q z k + i o P t q V L W Z 9 w p J l N u x U 4 u 5 j P R N J j d b y z R V 0 / 6 G B u h 2 K z 9 n p 7 g 0 7 3 b M h I i t K k w u O S 4 B h U i X E W C w 9 S b Z F r S T E E Y 4 J m q v O R I i z E D A r e y 8 r T Y S N R / Q 2 m X O B a J u b 6 0 b g R p t s S R J U 4 v t j A w k I H 0 + s u k G E v i O b a N I W F + Z s f m 7 G g w k I 2 C U Y m R y K T G S X 1 P 9 J M e Q G a a x F x L S Y V d d E d d N Y B N G w r 9 o 2 G x w c 9 K h y N A u J Z p h n Q u M S f E u 7 C T U C n u H R o / 4 E 4 m K a Q K M 4 k z S I D t V B O f Q p a A 0 G w c l G A h f C s Q h w 3 s z m 1 K 4 O w V c J S B a n + j U a e y m Q a E L 9 K k E f / u L n P 3 o R 2 H b l y j U 7 / d A J E U b B M o W q X Z v N y B 6 R 7 V K T Q d Y a t o f P n L b t 5 X W b F R Q j h A b I A n c S k E q 0 A m u C 1 l b X 3 I M W l i 0 B k U B p 7 e l u Y 9 F G b x J V L 6 m y L U k m S c o 6 p 6 6 u P k n u I U 8 a s i Y Y s S E N 8 y u / 8 o v C 3 N N 2 e y l n n R r A M J J J 6 l 5 m n s X B z N J k T U n w f / 6 P / q F N X n 3 L v v j 8 e R v v S 0 t 7 b N q a 4 N / / 7 R / 8 V / a H X / u G Z f J V W 8 w U f C 6 H k B i X M m I C 4 F g u W 5 R m J J Q o Z B c e f 0 x E G Z O k X V A b 0 v b o I w / b O b W V c B M i P T p l M 6 F 1 t z X I L H p k 0 w G w O N I X h w a D w A p b 1 m a F R L x M R j P X E R d B o V X x h s J w h D L 1 d Q + 6 / Y Z T Y k T 3 M A 8 S k Z 3 F 3 8 D p V g k M X M 8 E c 7 I W q l d a c a j 0 m k 2 E L 1 l v 5 W U b r L 5 m K Q k y 8 i + Q k q z a r I k h J R 0 F l d Y y G W u V R l 7 L r o s Y d y T 1 Z Y e h h a X 9 u t Q u 3 D E g B K I 9 8 J A V 1 b Y E Q a K q A 3 2 D Q M G u I P F o U z C W l a / M 8 c W i s k e j R B u Q c j t i o y N j H i m A Y Y + 7 O S 5 C i g l p E I 5 D R M b W Z k 4 C h 0 0 j J N k l c a Q n V F c Y q m l Z m R Q I 3 M 3 8 u r R 2 1 u E c k I l x I E o f 5 w T a q C I h T n A u c 1 f E L B K g u y M E N T J + Q P c R v x l A v X 1 B S N 8 F O 3 t E P C I E + 4 k 2 I k y g b a Y 4 E O C 4 y k n f h m Z 3 N 7 e E K k v b c S r g 3 S W Q m 2 z H 0 H W w G J F N B I i U i I h 2 g 3 z 9 2 F l D Q x p H M W e X B C j K h W f u S u C H W z s s f P b U + E U M R F a q H j s y Y s t S u 2 v b u 3 Z 9 f s v X i 6 h L b X V t 1 Z 5 7 4 h H b W J I R L 8 O M 1 Z H X r 1 9 3 4 5 G O J R w G 6 I O L m m U L z D v g g s d e A j K e P y Q 7 Q l C v K G y e z y x b R 1 e n V G a 3 j L l O G x k 9 L I E j W P n U c 7 Y l u 2 d 4 e M T K z Y Q 9 f O F p e + G z n x W e X r Y F v V / k L c J R x W X j n Z z o t 6 e O H 7 Z 6 e d u O H B g T w / T b i d O P 2 m t v X r J L r 7 x o v / k r f 1 n P T t v r r 7 9 l n / v C j 9 n J s x d s c T V j U w t r t p G v W C O R s r A I Y V Q d M z 8 / Z x c e e 9 Q z 3 + A Z X J Q 9 w H I P X K U 9 r M w F E o r h h o a H 3 F i P y u 4 j D C q m + 6 n 3 d h k P Z t m O j 0 8 I n i x a R 2 + 7 E x 4 C h w T 9 9 C c r c w m V y m 5 v a O B E 1 D p 2 B b V 2 J B h W h A 4 Q 6 S I n M T A S m j k 8 X P C C Z I K K u O x j 4 Y Q E 0 b a 0 r m C T M D Z J I P G k C v R Z P N S q p 4 E 2 1 P f S b G w k U C g X Z f u J 8 b Y 0 p o e P O C M R J M o 6 r 4 K e H Y 6 w 4 j d s 2 7 s y s M V E i F l i 9 b B T g G N V A v 3 0 b J Z h w B R M T 7 A U A + 2 9 I S h X k Z A l Z 2 J n r + w g 3 V + t 4 a X r 0 J H W f T F L d 4 r J J V R x a D B p C 8 O Q Z i 4 t Q i e o 2 S N S h H h w K r C U g 8 W g O L Z 8 X y 3 R j S + 3 E c E X x Q R d s j e x s Z j 2 a B N y I N c 6 A g 5 0 A z O t L C + L W V h d I I G g c 0 g v T B H g n 0 d E C B 5 n p F k o a H C Y j i S X t I p k l s x J M Y H s K y j 0 D M 9 1 D g 2 r v g h U 5 j j x s o L c P G 5 V w o c 5 K N r X K x O H 5 T u s f P Y c 5 5 F 2 2 V C f / 8 h F V l o C 2 R q N i u d o y F U j g n x L e p E u b Q b u x 8 9 + 9 A n B n Q 1 b J Z R f D y U X B E s k U M b M 7 7 B w D F x c q z Z s V t K + H m q z 8 k 5 F A 9 K 0 R U m V W T E j 2 i Y j w m i N 1 w U l e v T 8 u g z c W T H z m n 6 f t S 7 B p K W 1 n H 3 7 j a u 2 t J 6 3 2 7 c n 7 f V 3 3 t I A V M y q Q v q x h o 2 y p 1 F h x Y 6 O d l h P m v B / Q R 9 1 z y t i n n T v k H 3 y o 8 / Z v / n d 3 7 X v f O u b 9 o u / + P P G T D n R w 7 m q u W v 9 T 7 7 7 h t 2 c W b Z r k 4 v 2 z o 0 Z S 3 b 3 y 0 6 Q w b 1 Z t L W t g m 3 t y M h e 0 d + l s K 1 u V + 2 b L 7 9 p M 7 I F i z W x Q S h h b + u e u U z O 3 r 0 z a 1 f u z t j 1 e 1 s 2 v 7 B s B 8 Z 6 r E W w b 7 R n 2 C f 8 O L D R y O V O J l 6 i F Y A a b M W C M R u L s w q 4 Y B 0 i s i 5 p H W K u W 9 v F r L C c p C N z J N g M Y H l y g Z O c M i R h A t x C g s Y E R 2 B c b L q 6 M B o g J y 0 N t S P J n 2 p P C A G k 9 Z 3 l 3 6 R L k 5 a Q Z C W T D 7 Y I n i m f O x E C W F x a c 6 i n 0 + 4 8 Y Q c K f g M S S V E 5 9 G u I U X d 1 w R p L a A S r I F R Q y b o 0 D h 4 3 c p + 3 C b O z 4 w W 5 E E t C O a x p i 0 j A O j q F P k W k x w 4 f F T p g / o m E N z g K I k I r n f o 7 b P 0 D w 4 J u o x K o 4 z Y w J K E q 5 m Y h I R q R u u j F v m K X X B B w D R s K o O 2 x f X A E A d 2 J b c R e B C H R T o R Y a 1 L 2 o r R J Q w K n o n a T U p u o I I Q j c D 0 p + k D D A W 9 h G F Y Q E + m D 1 5 o p E y a s C e I F T j Z C Q g 4 a D 3 d o i T f i M U F 1 2 a k C y X p / W L Z l 3 l p + 9 k v P N I 8 e P a Y B S 0 l V k 8 8 g a V f m t u z 3 X 3 x b u F q 4 v q V L j L N j f / P X P m e r s / e M l a v 9 / Q M y 9 r q 8 Q h V 1 I E l a m N Q k 6 J F F h m u C X x / 5 7 E / a 7 N S k v f H u 2 z b Y 1 + n 3 P f f c 8 / b K K y 9 Z d / u u J S N d k r T s 8 h c k l Q R j b 2 5 t 2 5 W p F f u T d 2 d s Y Z P I Z J G J p G F I j S M L Z q u + / 1 + / 8 l O W S z b 1 f V E N V E P C r f a n 3 3 n d 8 u F + e / n K P R E B Y f k a Q U E M B l 5 D 6 h J m u y T V r c 7 D B G e Q W U K B R I + G m 4 I 0 M S N 9 F w O F H U W S x q Y G I A w j i L D Z T s a N d 2 m U S k M a R g O H Z G b V Z 6 M u A 7 s l b z / 2 q U f t c L c k s C D K w P i 4 L 6 1 + 6 d W X Z Q 9 k d Z 0 G L B w T b N 2 1 7 N a G 9 Y 8 M C r q B 2 Q U x s K v E G F 1 t a a t I w J I U B Y a R r B G R t v k C w U a l K Z j R b z X Z j 5 u S 6 C w 7 G J B d 1 9 s z I M l Y t c y O j O 2 4 6 q E B F 0 C W P R P k c E h E k p a U d g R G k d I Y w s s L i s F Q H U I I e T 2 H V a 6 i G h v u H 3 a b Z T G z q m 6 o 2 1 B f r / o m J F t J 9 o x g I Z s y Y H O y R R A R D q Q 0 Y N K U P q A P 6 T v c 3 9 h N v M 8 T 6 4 A l N Q J I / E a 5 Z u P D o y J E G f o S k D s t F Z k X Y n L 6 V 5 C L w G d y 9 a F p Q T z r + Y w t C y 2 M D p A N q s 3 D j Z h 6 y M i s a J c A Y F F i W L a i X u 5 2 2 v z M r O c q b w N C C 0 X 1 d v e I 6 f S L a A Q P 5 C 7 K Q U z B a o e w N D y h V x p S C f a U + w A Y z 4 3 8 l m v h h G s x U r 9 J C q v u O N 5 Q L t 0 D a R e Q w E g R n + o l w Z n q E U 2 1 2 t u X b 8 v M 0 H P + 0 h c / c T G V I m 8 D q Y j 7 R P h r N j A 2 Y a + 9 K + O 3 g a 8 f m 2 D b P v X 0 W W m S n G P Y Q 4 c P e 0 J + Q j r 6 1 b D D h 4 6 o I 7 O u w l O y l W j E O + + + q 9 / 6 b f T A h B 0 + e E I q c 8 B m Z 9 e t p 1 f S 0 D s y q Y H a 9 l A n j E 6 k I k s x f F 2 V p P b y 4 p S d O z Y u K D V g a Y 9 2 S N g B d d b 5 c w f 0 O 0 u Y I 1 Z S u 9 Z l D 9 2 7 O 2 v H j x 2 0 q z O r V l H j G E d V R R B O e F h S V i S m d 2 i g R D g Y q H Q S x O 1 D I W O a y W j W 9 P C P Q m h O Q 5 1 J 9 l z w N 0 Y r g 0 B o E r A C y O e J O 6 Q Z W Y r e E m 2 z p e U t W 8 G A j k l 7 x M N 2 b 2 b a s i J + v E Q r 0 v p k e Q p r U E Q v 0 j r q U 1 Z R 6 n 6 2 + + k f G P D 1 W v O C j M z c 4 5 p F D s c l 9 Z l D S U o S o t 2 K V d l + a l t C x B x V n x H E G V M / k o W K A F R P E K m + J c w r L R s 1 I o 1 T z B X E v A n V S f B U k h e X s S c i K W 5 b V v X q k L A i 3 x + L + D x l m q i H + T N y e L M q m d 0 y x E m C a y J W w d 1 2 1 Q X I 5 A 4 A 0 Q 0 e x 2 5 B t r Z o Q k y t v l d f X j j 3 u M 1 O z 9 i v / 9 p v 2 r 0 7 U / b J j 3 9 G D D p s x 4 6 d s s 3 N b X v y w l M 2 O 3 / P Q 4 v o X 6 B W S i i n L Y V X c F N 1 y z m s Y l c P h G J W m j y k d 7 p 7 W 8 J N 9 o S 7 / l O y x 1 Z l u 4 I E c D 6 R d p m k p P r D h Q 5 a F w 8 s A c a Y I A g M n A s x M W F K N M Z 3 f v f J f x Z P q m + A c o T X g Z 7 Y F g g 4 S P 4 U r k V j E f d H 6 B q r f s P 4 G G T T z 8 x v 2 N x 8 R g h C 5 3 7 q R z 8 u G 6 p T k E C y p I V 1 / p I + 6 u S 3 r 8 + K g K Q m B a h i L U V 7 7 M Q h 3 7 J l S Z j 1 c 5 / / g l 2 6 d N n G Z S Q i 2 U n e z y T u N p H d I o 6 5 + W k x 0 Y S 7 z + 9 N 3 R W h z d n 0 n e v W 3 h b R Q M v o F a w A A i E i I F A 3 I v W c w j Y 7 I E i z q D G P n B q 3 8 2 e O 2 4 Q Y 9 t H j B + 3 s i S N 2 8 M S 4 6 i J J K + h C J i J m 0 W f m F m X r i U p V 0 j K O W T o t / e 1 S p B k T o 0 R 2 7 Z / + n f + j f f O b f 2 b / 8 z / 7 H + z 3 f / / 3 A o a R e s e o J j a M 6 G s P j Z K m A F G I V w K O R J W p L i y + Q + q y c h M J i 3 s V d z i x Y z g e G n X m s i I + 6 U 2 U h F W 3 B c 3 Y C E 7 E n m a 1 q q D q o L S S p C B 2 w q a Y p K u 9 B 8 V g 3 X 1 D v s S f k K x d Q W 4 G f n + R X j C p K P m n 9 5 C T I i 6 t l h b x w 2 1 R C Y g w 8 3 J i q n A o y P / n x r X a h M M h L Q k b J j + H x o V A Z G x d Y g v R H I T L s M D w 8 M R B o Y A g n x 5 z S M w d k i 2 K R P g V N D 2 Q L 9 k h s S N 0 I E 2 C 6 5 s Y O T y 8 2 C O b s t c O S V C 0 6 R l 4 V N E 0 p c K u n X / 0 e X t 1 b c L + 3 5 e 6 b d b O 2 X f n O + 1 v / 9 R j t j C 3 J A h 3 Q P C o b n e n r j p y w F v K / F 1 M h L y y S r o y Q q 5 I f q m + V g U c m o l Z s O 2 I q 2 x R f / R K S x 4 4 M K 7 + q v u 6 K R x D O D V I Z 8 B K B + b O y J O B 4 4 i c g 6 w C 5 3 l u e / G p 9 h J t z q w g m X N p C 0 G 2 O V z 8 q g 9 h a / 6 7 U A x L d P p 6 e v W 3 2 i v a w l v I M / W z r m u q T 5 t q y 7 K Q S 0 x 0 I 8 H 7 x c 8 8 d Z G V l P j 9 U c E s 9 A O n y 5 y w r e 2 S R i 7 I a f 6 R J 5 6 w s h o I H D p 7 9 p x L / K I w 7 g u f + 7 x D o m e e / Z j N z c 1 L C p 2 w 6 Y V b E t x N a 5 P k J F d B p w h 7 Y r D H w 5 N 2 t s l I M y C o h m + f v a S k J 2 p B I s h 8 V r B C f 4 d l m w 3 3 d t u A p B o h Q g u z M z Y y c U i a 6 J Y I v 2 G D B 4 4 7 w a 6 T L 0 6 S P h R L W m V n y x 4 6 P O r G 6 r q g Y y T e Y m 2 y t z r U y K / 8 x E / I H i n Y w 2 f O 2 N j o k H 3 u U 5 + 0 h 0 + d t K c f P 2 / H D h 6 w Z 5 5 4 3 J 6 5 8 I h P A b A m C u + d z 0 + Q l 1 C M 0 8 B z p 7 9 Z w U p n B l E O 0 n B I M j E U u o q 5 H N Z w x U X c g z 3 t n i G J i e 5 L l 2 / Z 4 N C Y x Q X 5 8 D L F h L m P n X 7 E H n / m Y 7 a + v C L D f k R a h 6 D M k l B t 0 7 M a 4 W p H O r O u j P f G Z M f g c Q O q s V S 9 2 o j Y W q Z k G 9 L O u L N J V A I T 4 f U r M X G r P s c 2 a 1 b r M u q 7 1 U d l C Z 5 p l / p l C T M y 6 r b q + Q X B v d v 3 7 v g S H B J r o p F w N L H M p V O Q n k l U F t u 1 S u u 6 9 0 + E T R Q 5 8 0 V E E Z C z P N j x I t h 5 E m 8 p z O J z N Y u v 2 m z o Y R d 0 l K l v / X e 2 u H j X V t d m P G L D s 9 j K 5 p Q y F 8 R i V 8 W s C 3 M m R H D 3 E 3 p V E 8 x j M t y d B h K C a B 0 C C l h O w f t m B Y 8 R P j g + c E K Q T 5 G 8 6 6 Q S c M 2 H 3 S N 6 Y Y 4 K Z x m 0 Q V Q 4 g o N 8 E p 7 1 V u P I E o 2 S n l d S 3 4 B u c I c z 0 Y s A 5 X 2 M N Y 4 O 5 i W Z w 2 Q u T U S n d 7 f b 3 b m i U F L Z U Z k k m 4 U v P H z 4 I h I Z o l 4 U g R K d D Z y Z n F 2 2 T E G E V d u x k 4 e G 7 L C g G 3 u m / t z P / Y I b t 6 R f x h j t 7 u 6 1 0 d F D 9 r u / + + + F J 7 v s 4 U c e k f a 6 I Y k Z F Z N m R S x M r m K 0 N c S g W z L W k x 5 6 j 2 e E S U i y + 4 B j a T R 1 I B k 7 G 6 l 5 K r A u c k 5 L + o t 5 D x 4 6 a U X h + J I a O r O S E c H I O N w t i Q B 2 b G R 0 0 D I b q 5 5 m u U c w 4 K M X n r S J Y w P 2 3 / z k l + 3 T j z 1 j 3 5 i + Z q e P n L C b t 2 9 b V 0 e X b 7 i d F j w 4 J a b 6 v a 9 + 1 S Y k Z a 9 c v m R X b l z 3 e u L 1 2 o e h r O 9 y K C B i I T 4 t m D D U w E o K B t Y 2 z C R i w z q T l G t r D T n D b c r 2 Q V A R M X H 7 3 r y d P n 3 O k 2 F G 2 j v V t 6 v G 5 m m P n T v j + e e Y C F 2 Y v C n b B 5 t E h j L w Q u / c D 9 A E 7 w M 5 I G I J R t l C r N W R 7 S c Y F x V D Q d B 4 0 p C 8 + s O J p i H i I N U z U e 5 1 M T r a j n k S d / G K U E l C M z Y W b I I A h C P n R C K Z s J n Z e V 2 v Z w i l o E G I b m h V X X C / s z J 4 Q + N C O 0 c H h 4 y V w M B O s u A y + R 4 l m F j d t 7 W 1 b u z V N N M 8 5 8 x E G b G 3 1 F U I q 6 L + C p w u + X x R / S n E E U V 7 k F a M m M l g E h Z 7 D Q 8 n K I C 2 J 6 R B m Q f i 7 9 G B Q d f G F T E E j K a L P S 4 z r v Y R N l Q Q Y 8 J Q 9 B 3 5 6 T F p Y H Z 2 z G B u i T G j f Z 7 h S P R F y j d J x / v h R q T F A 5 0 Q S w n j E u z Q 1 k Z U E F A x 7 R 7 i B B u 5 v 3 P b m U k P 0 R E g l / D P / s R n L + K p Y f a Y B 7 E U H N V 2 e 3 5 L h r x U v U D f 4 Y P D 9 p B g 1 8 r S j E 3 d v W l d B M l 6 G q q 8 Z 3 0 9 e O i 4 Y M S W N x I p m m 7 v V X 3 K N j x 6 S t J o 3 V 3 i V 6 / d s C / 8 6 E 9 Y c U c q d H B M 0 l r 2 W Z W E / C k R A z m u S b k l q a / K R u N t t i i J W s m t 2 k 5 e m D q 3 Y f d u X V W D 2 H 1 d G q l e c O h C j j m 0 C p q C T i U E h J z i T U G v Y n 7 J t n f z d l n 2 1 b / 8 n a / Z N 7 / 9 s r 3 2 z m V 7 7 c 1 3 7 J 3 L N + z l t 9 6 0 r 3 3 j j z y + 7 + 2 r 1 2 1 p Z d V k N 1 t D R O E d A 6 P g z U L / q G 5 E d u B A Q H K 5 q 1 Q E j a c H X O 1 M x y E h U d g p 2 c L K p g Z a t p b + n T x 6 0 F I J l t b v W C a n t q i P R s c O 2 M 2 b l + 3 G p X f s 8 t U b / h z i A I l w R 5 s w h 0 L E B N K Z J f A E 1 m K f s i k d i y / x u p J N i A h o Y s y E T w X / 9 C H i C u s e f G J I 7 H Y J K u a D W E q e Z C 5 K / M 9 k M d u y M v 8 F x G E e E T h D N D 1 b 0 q g q G t e C Z T P r s k e 2 L S + N T S A z 4 W W k f l 5 e X v D 5 G F Y l E 8 r l w a o S k j i l 2 h K 8 Q 3 0 l Z L D b K N t s 8 z H V J C h j t c u q E x C f l a 0 S F g I / u M G Z i 0 L o U C c E E B P 9 w G p U B X k 2 E L q + 1 E L j i + c U J o 5 L G 7 B f F L t j s K Q D u 5 P e Z z u i g q 7 H w V E Q g 9 I H L L F n c h Z P r 4 8 Q N r C 0 I + 5 7 U o P v L y I E w g P h I t h p G l v M g J j Q x 3 a 2 Y D 3 9 E 3 p X w b p 7 h 3 S f + j o R t 1 f f u C Z N L j E q t E B 1 c S T p 8 d J Q j x y 9 O C J J R d 6 G g Y F + 2 U J 5 v a B m S 7 m m r a 1 L I g j y P X q e 5 R t I v 1 1 7 6 K E T 9 v W v / Z 7 d m b x j 4 y N D s n t y d u H x R 2 U k S s 2 K a N j l 4 d j R Q b t y 7 T U 7 d O h h 7 6 Q D E 0 c 8 G c u p E 2 e t r a P f F h Y 3 1 J F l O / 3 Q w x q 4 N T U Y m y M w g F t T n Z K G L F N Q 5 y M 9 R L C 4 z Y m 2 I F o h H g 9 S e S 2 v Z s S c w v 4 i K m I O B 7 o 6 J C R 3 L a d z R R E / u 8 b f u D s p w g 7 b l 3 / m 5 + 1 X f v U v 6 3 k a 2 M E + 7 6 j D h w 5 Y f 3 e H f e Q T n 7 I r N + + K Y N U h q G o R M E z E 3 l E N S e q G 6 t m Q d H e H o w a Z C U e H A y K S I E q C a 4 F D Q R 4 L 4 O d u C 0 k Y J W n V H + d O H b S W c s 4 6 2 g U b 1 Y e s t 7 l z 4 4 Y M 8 p i 1 q k L F s o h B g 9 5 U n a O C b t s 7 p L u S F F f 7 s Y u 6 1 R 9 s 5 c O 8 1 o q E V y F X d M O c 7 L 1 l E X x c w o R 1 a E w 2 E 4 W P V C f f N j Y Y E I j 1 T 0 1 x G z C + L u L t F a J A K k 8 v r V h W t g V 9 D C U k J c Q 6 x I B D Q y O y G b r F m A 1 P w H n y 2 E m L g i D E d L i j 4 5 L w L G 0 n S m F L Q p U S F R z l O x H g S H 0 Y G 6 f R Q O 2 7 d i D 0 u p 1 t v + 3 9 y M Z 3 U T E l G 2 T 7 p C 3 M J w H A 7 o 2 k r G t K m B E 4 z G Q p 0 e f Y U 8 g J B B r t Z 6 O B g f 5 B a 5 d A w 5 v I i u + V 9 V X d S 8 w l 4 V e C Y x o L 6 C S n P v Q M u j r Q o o w Z n k m 0 E 2 u 7 0 P 6 Y G x w E b G 9 m N o z l I z H V g T T U b W I w M i X 3 9 g 3 a r X t L d n d 6 2 e a W 1 k Q n Z Q v p + Z O z G 0 J X 0 s i i r x b Z / c 6 E M O r P / c y P X C T Y l W X M 4 M Q g v 1 n E 3 r g 6 G 0 w C q r / P n D l p v R C E s O f o 6 I h d u 3 l T a j D j K 2 V Z v P e v / 9 W / c A h R L G a t P V b 2 J R 4 4 O U r Z Z R / o t 9 5 4 y W P O 1 j L z 1 i 1 I m c 2 u W l Z a Z 0 g G e U F S m 4 y z a D c c C g l 1 L A P W k P r 3 P Z w k j S E w 4 r H I z c e E Z k Y q O N 0 z I A l R U I N a B N 9 k Q 8 k + Y / c 7 N g t D 0 m x u b r j U Y 0 E Z 6 a h m 5 2 d s a G x U D L x t v / D L v 2 J / 9 s d / a P / p b / 0 1 u 3 b 9 p t 0 Q Q 9 H Q O o a t 3 h k S Y 0 X 0 3 J r a H w I + i U C b 2 E + C W M x v B K M M 3 c B Y r K A h C i G Y 9 2 g R I c J s z L g T P t M 7 N G C p U N V y W y v W L 9 u K 1 a S 9 P Y O q Z 9 N u X r 1 m k 8 2 z d j v x G Z u 0 s 3 a v f s Y G m r M W b S G C X 3 a U p C m S G e e L B y M L g q y v b x r p r A g k b u V 9 q k + i v c t d 8 H g r d t W P r d h k s l s x u D n I X O Q O g 0 b I A 5 U X x E z N W o u N 9 o 9 a X 1 o w V F J / Y W F O E r v D k p L + Z I L C + 5 p s F S M J R R B Q y 2 4 a K 4 L U w E v m Z d T F O i 8 N I k G 5 w W I 8 9 V d F Y 4 Z W F 1 0 5 N P P Q H V 0 D V M N j h n A j n L Q k p m N X F Z a u 1 9 V P a d n K D Q m i c j 1 s y f a U J 9 t J R i P q I 0 E 6 C V K P 0 9 M 4 z C 8 v + v q o X m k g X 0 E r x g e i A f d A N 3 S 8 y N v d 7 7 u M o / 7 h u S 5 K S 5 P C m Y W u o D D s p 5 S + M 3 n P R C + e X 2 x g t B X J Y 4 i J H B 0 j Z 7 9 s o 0 j K 3 r 5 8 x y o N p l I S 3 o b W 1 p g t b 0 j o y S 5 W w y V 8 o B s J Z H w M H 3 v u 0 Y u o K 8 I 5 C N 8 g J i o U b b P v X p 7 y e R 4 I J 9 0 W t n M n J u z 2 z e v C v u o E 9 S Y S 4 s S x I 8 7 h T O 7 i h S I G q r e r 3 d c 7 Y V S T W J / Z 9 t G R P m t U 8 5 J Q K 3 b p 3 d d t v D 9 l v e l 2 m 7 x 7 W f c 0 x Y A Z h x p 0 f P / w u B u S q F y W 4 5 M 5 C a 8 L a h w 7 g Z w I x F a x e t Z j 4 6 S i 2 f w Z b U n 4 D Y S c l r Z i a x F c o 3 h 2 q u W C 7 J i 7 9 m / + 3 d f s 0 t W 7 9 t U / + E O X d k C + u 5 P T 1 h C z I M F o K x X B 8 a H / J A F b H d 6 J u 9 1 u w N F N 8 c 5 T E Q 3 t F T G T 6 i Z h 6 w w F / F M L 9 L g W 1 9 j M e S U 7 B 6 0 k i b Z Z a N q 7 1 + 9 Z Z 7 L p a 5 d y o S H L h Y O Y N M p Q X X 3 S w r b 9 8 F J E h E g g K L n N C x 6 x j V Q H P q K Z f A O B D j E p 8 H m 3 Y r v N i k O d 2 d V l 1 T F u o + N H 7 a M f / Y L 9 Z / + 7 v y N m T 9 q R Y 0 f t w m O P 2 + c + 9 Y J 9 9 N m P O e T + 1 V / 5 K / a d l 1 7 0 p d y 0 K / B 4 N W x K D I b n d k 1 2 6 7 J s 6 5 S Y G K n O W i F d I g K u 2 b r 6 m 7 i 7 / q F B 2 V T D 7 l B g 3 s y L O n B l T e h D Y 7 S l s X I t H k 5 Y R s 9 k p 0 p S Z x O J E J I W 3 S h W b U O m w O r W T j C X p L 5 s i n a I G A e Z 0 J P M c R I O h Y b C + 8 c q A C a s m c r B i w f 0 p / S R Z U n M n M u V B F e L x p Y 0 W 5 m c H T h w 0 H o l z K d n Z z X E u 9 6 / a C 5 W I Q T p m d v F j I J w Y j Z y Y g B l W a Z x e 3 L V N 6 T e r c v 2 F E 0 g 4 A f F n G x s D j 2 E J f x C D Z x K T M X o + P x n n r m 4 s r I W u G i l M s H K e c G V 6 / O y A y R d 2 G M 3 X N + x M 6 d P e q J D c u t l J J H Y j 4 i M n Y S 0 Y K i v r 6 0 6 Q Y 2 O D N r c I h K w Z n 3 9 v T Y 2 P O i 5 0 B d 0 b p 6 E k H o p K Y u R K C y W A 5 p l h V O D B C 1 R 4 e Q O M R J L D C q O 6 5 m l x 8 W O e 7 1 S L V q w o x x 5 F z C 6 u 3 T v l k P N u 7 d u W q I t 6 V 6 / 8 Q P j P n e A s X v u z A n L M N / S N 2 D T y x u C O c w r x U Q 0 2 D 6 8 U 1 p H H Y P j A W h B v Z G s J I s n t o 0 I A z q Z Z e m 6 y J m E S T 4 Y E E H k O 2 R o I G i P T y T r w D s k H S f G I P o 5 L p t q 3 u Z k k 0 5 N r d u 9 q V n 3 2 g 2 2 k 9 9 N x N B 1 3 r J 1 d j c M y r H 0 t A Y n K w I h T 1 2 Q d z C I P 8 N G k C 0 j i Z z Z X J c 2 l q 0 p S Z m T Z m a 7 G i Z g M / l 1 w a 6 o p / W K x Z P q 3 0 5 B n o R t b e X t Y x / 9 m F 2 / d M X n p c 4 / c l 5 w p t 3 O n j m j 6 1 r t 5 V e / 6 + v C 7 k 3 e s 6 W N d V v W W N K v r E x e X F 5 1 K Y 6 D B k c C U R w l E f m O j p S Y i + h 8 t g J i e Q P Z d 3 E 7 d 4 k g f c G e + p O J 5 3 R 7 p 7 F 1 a k u y z b Y E 5 5 f W t s R 4 B d l h s p c k z H b Y + G 4 3 L I H K X F r I B v S s J i 5 + H Q g t 1 4 Z C H o Q o 9 X V 1 u 9 M l t 8 V m E i Z G S H k W W X a h J K F P X v 3 2 K 7 / 4 V + x t t f W J J 5 7 0 D e 6 W l 1 b t 4 x / / p B 0 + c s w u X 7 4 s N L T t E B a H B V E R 0 C 0 M J m X j N h 3 e R 9 b 2 b W x u 2 + X r M 9 K 8 O H b I K U I A w I 7 s q o z o F I E g W t E 9 I W C f B A d C N / z Z T z 5 7 E W I g e B F D m / w J l W i n X Z t a d E n Q Q o M l K U i J 9 f C Z U z Y t S S 8 B 4 l x M g C H M R I w Y U A n v F P f T W e D v n q F h W 1 q c d b V 8 a 3 L B D k 2 M + 3 6 v D B D 7 s A I x Y W I 6 n h w E + P G J I s Y B g N H N p m L M B 4 C z k d S E 8 A C v 8 K i B d 9 d z F T t 6 4 o z d u n F H h J S W N i S i m b m F n O e Q y G T X b U j v E X 9 a V p D x p b e v W k u M Z c 9 6 B s y A 1 F R H 0 q G M G r Y J C 8 V 4 d k P a k W 0 g Y T T c x T I K H E L A T D C V j 7 L / x 8 2 B N g I C w k S s y 2 L n d Z g O h 8 P H n z x j j Z 2 s H e h L 2 o V z h 2 1 8 Q N J Q l i y B u u 8 0 P + m M t F 9 6 o k W L V F b d R U t + Q 2 I k 2 S 6 H i A I y I z H Q h B V t S r h t y n 7 N y u Z d k w 2 6 I x u 2 R f X v S a T s U L 8 I y + f C t m 1 9 d c l u X H v L 3 n z j 2 7 Y t I V O V A P v j P / 4 D + + 4 r 3 7 F v v / j n 9 o f 6 v i V G Z A 6 I F d g R H B 8 S E o c E j x v Y p t I 8 e C 1 Z j c B u g O T X Y + K 9 R X Y H i / I y q x u u n U j 8 g i B C i z C v y N z W i j R Y K C L B J B N C P W o 3 Z y d t v V i W h m K + L 2 a p v k O W 3 Q n p u Q W r y v a N C E 2 w A q 7 b Y w 7 J e o T N z L J 1 0 U W n b E Y J 0 b / y l 3 / d p u 5 K y w j h / v Z / 9 r f s x W + / b F / + 8 i / a 6 2 + 8 a / 8 H / X 1 F Y / y l L / 6 k v f n W 2 3 b i 5 C k P X b p + 7 Y b 9 2 J e + p H Y k 7 B t C J a 1 C X E B X h C Q r E B C Y a E s c U Y x o U S Z G Q z X O F u u y m 7 I a z 7 j O i w Z E E 6 3 R m h 0 Y 6 x A 8 b r O S N G t j l w B u M Y S P t R T Q 5 z 7 x 1 E X i v 5 g c x M 8 / L 5 y 8 L v W 7 I J X G p C 2 T W y 3 C t 3 P T k / b Z T z z v 3 j b S M S H d W O A F N m d V 7 P T 0 t B i E H c 7 r w f I F a R G M e D R a X p z c 0 d V j S e F 6 I g a I + 6 K z K N g d S B 8 i f Y E 4 r H f R u D j T s o S C + Q G W a U O / S E m y + o F h 2 a X u 7 M N P C 3 b k x Q C t 9 s z z H 3 V p S 5 7 z Z w V n C K b 8 k R / 9 U b t + e 8 n W t y v 2 O 1 / / c 0 k m a I X c Q U H H O T v o R S w 6 r E v 9 8 z d q X H y h r 2 o 7 9 o D q x C H a 0 Q 8 C c s A 9 V Y Y n 6 A f 9 L z D q m Z f j c K w I v w n K S m z 5 d Z 2 J h j 3 + y G E b 7 g v b + G C X d c o w L 0 j b s g l N X + k l O x 6 / b g d 2 X 7 c L X Y v W L O T t 1 u 0 Z 3 3 G v W N p y g x l D W 0 h S 4 y H D V w N N c K n P V 6 m i n I m p D l 2 y O 9 P x N o 8 v m 5 f x v C r 4 H h f m H x 0 e k m D Y s r 5 u M Y H G C d t V I 2 2 t 7 T E 9 P 2 + z S 1 O C Q l 2 C Z Z u C d V 0 O s Z m 4 T Q l i M f l L j h D 2 k y X P O d 7 g M Y 0 f K 1 e 5 D 0 R A 4 p y Q b M Q O 3 b u 4 P C c o v m z l p u w Z a U Y m u s P t v b a c 3 x X D m 6 1 k c d 0 T Q J u y Q r Z m W 9 v S Y D u y k 8 p 1 i 4 t W / v 7 f + 3 t 2 5 8 p V S 0 k D / c N / 8 P f t x W + 9 a L / 5 m 7 + l 8 Y 9 L W H f 4 2 H 3 i 4 5 + 2 r X U J B t 0 3 O D A m C C o U N H 7 I b l 2 7 b Y c P H r O S G J N M X G z Z c / 7 8 4 3 Z w 4 q D d u n n b b S i C E m Z m Z q V F 8 9 J I p A f v 9 n E m u o J 5 M Q p z V E x d C I v a 5 G x G z I X w F Q 1 o I C M a z 4 n h D u v q a O o Z e s f G j u 6 X u a B 7 s f M Q n i H 3 x 4 u z y J F G i l l m 9 J N M Q u r h g d N Y q r v J o j O z m e l Z q W 8 Z r p K W h C r h p y d A N l j R i D S N C s 4 V p S E y 6 t x 5 Y 7 3 S 4 t K 6 b W 8 W r F u D 0 k 5 c W b 0 k W B Q R H q 9 4 V D W a E U Y h M Y b n Q k M 7 q X I s 8 Q g K k c q S c D g G R M g 0 G K O R k B d y b x P Y y Y K v h A z o U 2 c f t Z p g Y 6 K 1 U w Y 1 R 7 e d O P W E 3 Z n O C D 7 y L B z K Q c d R n C n 0 z J I 0 6 v 7 f 2 D 8 U 4 C A d 6 e 5 x 1 Q f D w T 1 5 u p 9 P u J 7 9 h C 2 k 3 z h w J L A f l f 6 B H 0 L S Q G y Q T H l t e t 1 u L 2 Y 9 p c C G C H p m Z c Y a U b 1 X W o X s Q z j Y G 6 o g E S S X 7 t 6 w Y i x i c 4 J a M D C R B D u F m r R t 0 b L l b U n N j C R 4 q w 1 J m P V L q H T I X h i T b d X P 8 u 9 E 0 p a 2 M j Z X W P e 5 J 5 G H k V k p I a 1 V K E i b b A q u 5 6 W 1 p K m y m z n r k 3 0 x 2 N V v G y t s A N 3 r Q q p D U L C 7 T c a 7 x p I x 6 E h L w 4 i Q j h 0 9 6 p P H L N 8 p 1 y V 8 1 H 7 c 7 n P L i 5 Z X 3 V l H 7 Y t O 2 z q k o Q R N S z G 7 N W f 2 + l V p v 3 z E J t c l A O o 9 s q X T l p F G q u 8 0 r U L a A r 0 7 v 7 Z h u b W M R W o t 9 t d / 4 z 9 R v 4 U t n x H 8 a 8 b s 9 7 / 6 R / b 5 z / 2 Y X b 1 y X f Z O j + z 4 O / b R 5 z 9 h 6 y s b P v 4 4 s A h 9 Y o n F j r T 1 j 3 z + B b t x 4 6 o Q y q D q 2 L S L / + V / Y U 8 + 9 b j d v n 3 d v v p 7 / 0 7 2 V s 6 j P t B O z D E R 4 + g R 6 F I A p C 9 r Y U 4 M U 0 e a c W 0 z L 6 U A J 6 g g 0 W X L D / R J 6 L C M X s K J J U U + L y m q c L r Q Z e H z j 5 y 8 C B F j D 7 B T I U s h C u U W u z M 7 L 2 k i z C x i j T A b L 6 4 9 M t Z v A x 1 t s m N S 7 k A g q B Q P C Z u H M e l L 5 C 7 z I q 1 t E U n E D t 1 b d r d 2 j w x e J A F M h y e O n B V I 1 p K e D e G 2 R B O S C i I r E Z C T s z 5 J Q I 9 L v o Y W E J F 7 T J 0 + y V B K 5 l T S b 6 2 t C 5 7 u 5 E Q 3 F b t 6 + W 3 V p 0 X w M + 7 J X M 6 e P S 0 N I P t h p 8 X + z b / / u m z D q v p E s E y d D G z k P W g b 4 A j J G n H P 8 z e f 7 7 E c / a j r H c J R j 7 2 T e w U P Z n B u 7 w d d 6 8 a 3 Y A 8 T 0 p z l Y C X 0 3 P y C p y X u T b f Z d m Z d g 4 k j Q 9 q / r j o n 2 n 2 p f k i 2 0 n q h 4 i m s R g a 6 Z K B D M N L 6 E j z Y C u 7 4 0 L N x 1 g D e y Z r K 4 k F S C j O k D O x 2 q W i l m g h D q p Z Y O Q I 8 s X v Q y u Q y h w m I 9 K a e r H x l 6 c 6 W m J A g 5 b Z 4 y r p l f / V 0 E Y p W 8 S U 6 0 E Z F t i z Q v K u 7 V 4 z T t J U N 8 r x L i K j v S N C D n Y k b B o c G Y W H V R q t 9 5 7 t X b b e i 3 9 A + a t u u m I 6 E k y X V D + T B F E Z Y 4 w Y i w J v a L s Z 4 / N H H f N 5 t f H R M G n F Z w l Z E L 4 F z 7 P h x + 4 N v f N 2 e e P J x z 9 J a l A l C 4 p h T p 0 / Y / + f f / A t 7 6 M x J e + P N l 6 2 n r 9 O + + t V / K 8 2 3 a U u r S / b i S y + q b j t i x s s 2 N j Y s G p D S 2 N m W o G B z v I L o h W j 9 v M a H 9 V h i H C m A k C p G N E R U m n 5 K G q r W b N P p P W A f h q G A e q J 9 C e z N r Y p I N e o x n i g B V o W H n 3 r 8 z E W S D b J u J J 2 S 8 a i B S 6 Q G 7 M 3 L V 9 Q Y 0 Y g k N A G D k P r 4 a L + d n O i x L U k 9 W S u S 0 G x E 1 e o L 3 n D r x q I N y + c 3 P c S I / N V b m U 3 B D h h F H S 3 o k p Z R H Z P q J j 9 e R k Y v G z h j O 7 E c O U h C 2 H R S x 5 t U E v 4 n V i t G A K a Y k Q Q m p E P O C p o M S Y s y p 5 B K 6 1 m l T T F y 2 J Y X p + 3 U k Q k Z w R u 2 I 2 3 L H N L / 9 G 9 / 3 / 6 n 3 / l f B S t 2 9 F x c 3 m I V l I b D s 4 A J m L v w 1 s E w + h Y w 0 x 6 D q O x f 5 6 d g r L 3 D G W f / N A d / S B C g y f x J e h c d z H c E T j 1 M E O W K J / e M N U T k Q N d 4 x O d b m K j F C b I s + H r l z o z o N C 5 Y m F D f t Y j Y N z 2 A E 4 8 l w Z 8 I A L c h I 2 H B 5 I q Q Q 8 W i r b i f G 9 I g M p j L J G j c l d T u c m a i f b j U W W y H y 5 p J e Q 8 T k v 0 7 Q 6 J O C U I M c T K i d q S 6 X I B q 1 P V 7 T M T D h G 5 e B n i 7 O y R Y n 8 W U C P t S V a R d R 8 c m u N Q D a W n 7 s e M n b X G V H e z T t r T C v B e T o y 3 S s G x O L v g L l k b 6 S 9 g w Q U 3 G K i Z Y s V P J e 3 7 h w g V 7 9 b X X 7 I U v v G B / / C d / Y k d P n 7 L l l U U x S r e 9 + f b r 1 i c h 8 8 r L 3 5 F 2 X X M n x 0 s v v 2 g t 8 R Z d + w 2 1 d U d M O K / H s j B S 2 o a 1 X u o j a K c j n f S k O + s b q 7 I 5 C U A o u q B g a I H U J E b 1 4 A A N V j g W d u S U a u 2 z m b m M n i e o L C H G I C M o 2 d A c I d Y M t d r 6 O n t a i Z F A M B L 8 C N H w 8 0 + f u + g G l i A Y Q Y h s D 5 k Q f L g j m 6 k m l c u L s Z E A 8 b 3 C 3 c f G + 2 w n n 3 M P D 1 i + i A b T 7 8 x H 5 T a X 9 X B x q f 7 h L s W v T w I Y y W L r 6 h + Q J o p r 8 H Y l J c h r V v W D 2 W y y c d L J Y N C q D H C W k 2 P k B s u 3 U 4 K h I z 6 L z 5 x E Z 0 + 3 n s f 8 B p u J s e 5 G B C 4 i I 8 a M e E T y a 7 9 + a 8 m G D 5 2 y F 1 9 9 W 0 Q m C S t 7 S o 3 z + g R M o Z 5 D 8 z D A C A x J J m e 2 P W 2 o / + n 4 Q E E b 7 R U Y y j W X / 9 P f M I + e 4 8 y n O q N p k V o O F f U b Q s O I w B A j M 5 c z O i 5 C l J 2 7 I c 3 Q F L z G F M 9 V Q v b 6 5 S n b F D Q l 1 m H i w I C Y o e R u 5 K j q x z x e K i 4 I J o 1 C b B m R / p 7 T Q 3 2 3 K S i H c C P W k g y q b F E J r K n p / d h N 1 J T v T L a S w J M d 7 I n j Y / 6 G J e a s Q C X q g Z z t T G p C W O R 5 Y E U x Q b N L b C m j p y S l S S c O T E i Q E R r V I q S Q c 2 9 h W q i E b U K b L Q l L d X U L 4 T Q l 2 G Q / 6 3 m E l p E E V D d 4 n / m S D h n x R D w 0 Z W v V J P h w C o B Q Z m d m 3 I b / / a 9 / 3 S 7 J l r p 6 4 5 b s o x G 7 c e u a O w o m p + / I x t u U X c S i 0 m 4 P 1 H 3 1 r d d t a G T Q J q f u u g u c F c G k Z 0 a z N f R c r i H t V 2 s C Y M 1 m 4 N A M W y 6 p H w W n Y W a m g Q o S 6 A V d x x J 8 I u v 7 e g f t 9 t 1 Z V Z U V 4 j 7 K + q d 6 S 9 A Q k u X R M D X R u Y Q G N q 4 L W I 1 7 + N i R / o u s b W L h F 2 m 1 2 B u H I M L D J 4 / b W 2 / f 0 I W y W / Q o P C C R + o 4 d G O q 1 o r T Q 0 O C Q B j O w S S B 2 9 m E t F L b c d 4 / X r i w D m o l C J u R S 6 R 7 P a + 2 7 e I t x Y S S N k K t Z M C z S F u 7 3 H A C S L E h d 5 o / Q X D A r 8 1 u 1 q i Q N X i 8 x Z W 2 3 6 Q 0 m y l u j 6 B H V z I j f v T d t a 4 W Q v X N 7 x a 5 e v e U z 8 n n Z C o S T A B 8 Y S x g I p m F w / R M e c E b a Z 6 a g + L V 7 h 5 / e / 4 3 7 9 h j z f u E c h 4 r E g n 6 i v 4 I O R k i F J A W F A f Q o 9 a W k 8 t T i h o g 2 Y i O j x 2 2 r 0 G J v X 5 2 3 G / c 2 L V + W J r N 2 6 3 n 2 b 9 l 6 7 I K t J Z 6 y h f D j 1 p 7 5 Q 2 k c 2 a s i d u b e c L 6 0 y L 5 D O O H 5 Z B c O p h Z w 1 7 f H k 9 Y e F f Q W 0 b P / E Z o X W 6 N d x M Z C v d z G p n U I X l F H o r R J / A 9 6 w N H A + i F C c M j E R H T K h j 5 H B o f 3 J m m l G a V N 3 r l 5 x S Y X p m 1 H K K O w k 1 c b Z T W K q D o 6 + y 0 n y b + a 2 Z J W L W s s Z D K I D h h D 9 a z 6 p 6 G / B U s l c E E v o B Y o q w 4 E V x / B Y J t i U P I + b G U L / j 4 y / z I X x a Q / c D I c 4 0 k 1 a Q m y I 5 H + L W l r Q j r k S v c g X g k R n s V k M p P C u 7 W S B E V U A o h V y k E + 8 6 q e p S + W F 2 N t F w r u q U a o M 5 7 E j 2 I 3 k i m W J T E V 0 f B 6 Z k e / k c u E q B j S s p W E k s g P 2 K K + V 3 V E T / s R F z W 9 M 3 z + s S M X D x w Y E 2 5 s S u L j n k 1 K e m 3 Z 4 W N H 7 e U 3 r k A e P q H l n S K o c k T S o V n O 2 o G D B y T x W S u y p c E I k p Z 4 x U X Y r O t n E R 4 S E M 7 F c U B I C o s R x R n O S M R 0 k f G G C G 3 s M K Q h W W l 2 B V s Y B E 9 Z p u s 6 O p I + 4 H g N 8 3 o P m p Q d F H E f M / l G 0 k o S 8 e u F k m J 1 e + n a g p U a 7 V Y X o T G n h m Q k J M i 1 t g i K + u g b r X E m 8 C X 8 e 8 z g G m a / P P D 1 e 4 q e 8 f 5 r 9 Z 1 n 6 B N t w I H m x D U P s / J 0 f y + / 6 2 D u K 5 P f l Z 2 6 Y X M r e R F n S I y m u u n a F k n s 9 F F c 6 T w / O B 5 q v e l y A O b 0 v W k 1 k o S 5 M L U A B O E + 3 O r D Q g H E v p F W m L z q r H 9 i 7 R M C j A G P i T C o R m s 6 4 S m R s b 3 K G o + c i N O 7 Q P / r H + i x d c F M t l x F o 7 M V D F E F 5 M Q o q 2 7 L G y u y U 1 M i e F 2 v l h F c O z Q 0 L g Y U 3 J f A 3 M g U b G W V p f x N 2 a a y L f R u p l + A v z i S P O 5 R / x C g w D G m F w j t 8 v V l 0 r K 4 6 u m w I O d H z N j P i 5 y J a B K S a Q b b 0 j T c f i c p 0 K b g J E S + q 3 a Q 6 x w 7 C F s J a K w m S / g w v x V s Z A 1 D g 0 R 8 p 3 g 9 D x u K f i O 9 w I 6 E c q d M i L I E N y u f V 9 e k X A S b w 2 G 2 5 p F K 0 V A Q F h U i O s K H O i y a F w O p I 0 A 4 P r Y a p B B Z U N d k Z N K w n o F e t 1 U S 0 a Y 0 j g Z e H M 0 m b E C k Y I 3 O r s X a u 9 2 2 8 t 2 2 1 Y i 1 p S U R r 6 C C C B 7 X p B O u X g b n M 4 g Q K 8 R U k T F Y F 8 7 N 5 y R 1 c m u 2 m S E X w I b 4 q + y M V p a 0 q 1 W I Y V M H 6 7 0 c d B 4 Z h s D L S L N E W 9 T 6 B v v 8 w N 2 N V 6 Y u j c b y g l R b z I 4 / d E 4 S j e Q c S A / Z D x o k B g p p B y x 0 A n W i 3 Y N q q h c w 8 z + 0 B B A m O L 5 v 4 U U q u i r 4 s l f 2 G Y / j v U L n Y a a / v z A P 5 M S m 9 7 C k g t W l R E i T O p h g T 2 A I R L J K l I t e Q y w f G y C Q a 5 B 7 G A t s K a D i 0 M i I X b t + T e d l a 4 j Z E E q + c T P z f L K N b t 6 + 5 Q I N 7 c L O 6 c T Q r Y n B U n 1 d v j k C 2 r k i b d a Q z T P Y 2 6 t 3 t 9 u a m O j m 5 J J l Z K T X d 2 V b r B U 0 b m I k J 7 y A 2 L z P 9 2 C z 9 5 l / k d Y Q E w K 9 M e q Z v H b G 0 v i x V g 2 C x U N Z 2 d V 9 I u w i K 0 q l p R n 3 U K j m G X s T o o P 1 9 V X r l S C o h W R O s A i z X h U d 7 n p 0 C X C M a H W W r t B H t B f h T J w g B R s f L + H 5 s + f s 9 J H j s p 1 k s 0 t 9 E H C Q z y + r D 1 N S A g W P 4 S N t A W 0 S M a k b V C c n d m + k 0 x d J M s N P X D h 7 k b 1 4 2 L k t K k x e l i Q a H O q S S m z Y m 1 e m b D c k u K R O Z O i Z c B W f 2 V H h + 7 n Z e T E e k I 1 9 Y w f V W Q 3 B x p x r D l Z g g t d x L q B d f O 9 V S U T S i 4 X x N Y p w i I q G I V n 7 Q i i N d 7 Y q 6 K 5 M N Z q D c A 6 y 6 r D / U W f P o K Q x i R T x K o n R Z L s V c g X r S r V a T M 9 k k p Z E M N 9 6 / Z I H 9 1 a L O W 8 g n e M 2 E z p W A + a w k v Y g q j 9 Q 7 m u d v Y / 3 F X 7 b P 1 T 2 M f P 3 L f e v R a A g x f Y c I c H t 3 1 O o p + u y l p q l D n 1 i 7 2 x Q D o f e F Y z K S l K W u U L 2 S V k a Q U Q V D d t r 1 U / Y S v i k z d U m b M U O 2 5 H 4 g g R M 3 D Z L e Z 8 n x K b F Y Q Q R o 6 F x C A k T 2 M H D h z Q u J V v d 3 J A g 7 b N 1 2 Z 9 E / I 8 I y h O M S / w f 7 y C 2 j X R n t 2 f u W X d f j + 4 V o y V i N q I x 7 + z o F p H G 7 d 3 r M 7 I H G 7 a 0 l J G N y O S x G q n x R A i S 4 1 D d j q i Q d t L / V A 8 / o c I V L l S k u S K C q S C e U A C a b V f X o c 1 Y V o L / k v 2 C e / v 6 r U 2 C c z O z Z H E 9 H x j M 0 v b 1 z X U 7 d u K 4 z S 3 M q a / 1 b P 3 H q l y C h X v U D t A P Q c H U C U H r U E / C A u 3 J + q k D I 2 P e R 4 x A Q j S U z W V U H 3 a X J F I F 7 6 q 0 X k H m C g 4 0 / W M Y g Y / M T D B / h X C j R a w i D q H O 2 V e X v W l D I u K m G A O X O B O j w D b 8 b h o J J 0 C 8 V f f u 3 J G U k J 0 l x v G d 1 v V A i B + 4 x m 4 b G J h o C B i D B W j s g o H f n l W v h C t V S L c k q Z Z I s t X k m J 7 R b e Q 4 7 + z q k Z E d 7 N E K 5 s f Y H R g e 9 g Y N y 2 i G u T C k c T o Q w 0 Z o U Z s k N Z t 5 N W L t V g 5 L d Y f I C i T i t Y o b + 2 T g Q b I H u Q 2 C A l H D C P + h m s k l r Y 4 f d v / + d f 4 + 1 f 0 H a r H 3 F W n e j d v W H V q x H p u 1 r s a M J P S u T U w c s q H h E W l g Q T 4 9 c 0 t E U R a z Z G z M 1 m o D t m k j t m G j t o 1 x X W M z b / I K S p O o n p 4 x S f A b r Z T N Z j 2 P H Z 5 Z k s S M q I 8 X 1 1 Z 8 A 4 C m Y D h M h J s e 2 3 Z E 2 m w r n / U J U b e F o A E J q b I E a 6 E g d F B m O Y j q k i V p a E M 2 s v o F b 4 t g P y J i X 5 C R L 1 4 D o k O E p 4 N z j A n R C E 1 S F k j 7 i B a d b k S B x m 4 f 7 E i J I w S o R k o v o u f Z 1 G F q e k 5 M F v I c I Q Q R k B o A U w P n G X t D Q Y u w L z C M q Q B G H h s J L y a 2 O A z F M h C m e N i t B T p D 0 e w K n r K p e Y s Y m E Q t T C H 1 C n H l B Z 3 P n J m Q 5 h J K i w g 9 O I J Q 3 Q V X q S O W s Q t X v Q j n V P j s Q x M X P R + b L m M n Q n I S l J k b 6 U z b y 1 c m 1 T j C c A J m G B k c s I K Y 4 8 K j 5 6 y s w e j t 6 f A w n + 5 + c b 9 U L P M q Y F u 2 X W w T D J m b m Z T q z 7 s z w n G 3 J H V 2 u + Q T r y 0 R N T D a 6 q 5 6 P F b s z 0 v Y P p i c g e j t 7 b P u r m 7 B h w 2 / n 6 F h o S J R G h o i n 0 C O C N + k + 0 b s f / x X X 7 M X 3 7 1 t 3 3 5 F k n w z S 1 U C R h P B P a i J 3 D W q 4 h 6 9 B w q u e h 9 6 d S y Q y X / l f z r E E v p H Z / G d c / o i S c r f w Y k f U n R d E I q k e g P q v 8 8 9 S O q g p i 2 2 s 3 L J n j 1 U t y O t U 5 Y s X f b 9 j 7 k f Q U P S T G L c Y G d g d z b 9 U b 9 r v 3 Q U v y 1 D v 8 X t I 4 Q k s B t i g m A Q k N j J a B g Y H f i z I a N e g y a k I P S h 8 d m V / d s p w d a a S v q q 3 Z 7 e H p u Z m d J Y y Q Z r j 1 t H d 5 e V J d R i E l T V Z p t 9 5 3 W N 8 a 6 0 i + 6 D 1 N B g 2 E b 3 C x W l r 7 y F + j + / c a g D X b p 7 R 1 L 4 p L M 4 d J M f w d 9 8 i K + E T A g / 2 7 H u T g l u 9 c H w 0 L B H O 6 z K r k N Y j E 9 M G L u E A P F I M O N R 6 m I + l q 7 w d P Z A Z r c T b H b W d B G g Q J 5 D 4 C U o j K r m C j m 1 X S h L d M w m D j j M o l G W w Q / Z 4 t K K 2 p D w k W q 0 s C S E M U V Y q J m C q j K y L E S k N t I I D x o E i M Z S X 6 v N M h Q F P 9 p b M W a l d F W p i i r Y 3 T 8 o q F C 1 P t z g G o B 0 Z 4 d s s H V p L 8 E / / Y 7 z o V j Y E G e v W X 9 X r 3 W 2 d 1 j / 3 o b U U T H Q h U c v e N q x 9 j a p W N E X E p E c 2 f Q r S T S A i U T + I t F Z U g / 3 j 4 2 M u h e R u D Y m e w m u Z e k 1 S y r + 6 T / / V 3 Z 7 f d d W S w l J L Y E F A h X F e N w P 7 H y w 4 O k j d o s C Q e 0 X o A i H L 4 k K + u f D C z 8 8 8 C N 1 / r 4 H T O e M p z 8 w h t X H e L Y C l v 6 w o g 5 S P 3 N v G G 2 7 K + g j J M D + t s B U 5 j q Y I D 0 w N u H L X k Z 6 B + 3 0 8 d N 7 9 7 5 X Q B H h W o s E X t W j F l p I 1 K I + X R e M W d 1 c U / 9 W h C p D d v K o 7 h V T s D 9 s b a d m X b I d + g W L 2 P i s Q 8 Y / k 5 8 B u t i S d M Y x J F Q g r U b 8 X k y I o B F q t a n Z N T V N L c J r p 3 5 9 r 0 d V + M M P m I e D 9 n G 8 1 0 m B D t J 3 J + W 9 4 / 7 v e / d L k I M y m E q o l D E P N I Y a J H w X H g M q O 4 s Y U i b D W + N t H q K E n U O u D b I f k b + j V Q I F z U z Q N D s b s u 0 q k 9 4 O L 8 U I 5 C f p l g B n 8 S d 5 F N k 1 h u U t x y d O 2 k e e / J j t F p n 3 K 9 h D p 8 a l E V X L B n F / U R e Q I d U N q I q T x Y N j f 9 R T M a 9 J 2 0 j L 6 C T J M M h l x 2 T g r Z k V G x g 6 4 P M c Z A W i y R j 6 R y Y G L d I s u d G 7 q Q 5 n I 6 5 e Q T f w q + 9 j S h / r f k L s o 5 K q 8 4 u L r o V Y X u 7 h 8 Z I q u G V J a A i E I 8 E G W / S z S r V P 6 h a O Z t V q m / 7 e z g m T I 2 n 1 b H e z 6 z y x V y w E W y n W 7 M / e u m X V a I c P a o v e g T E d l G B 4 9 6 H W g w z 0 P e U H / P Y D 7 / u L l L 3 b q Q d h T P z D M 7 R / f r 9 Q S 2 w o s u p 4 B + 5 u W 0 c 7 f R K S H d D h U h d I T E J S X N 3 x P d w + 2 X h I n 7 r P j 4 a N 1 d / R P b h 5 A 1 j K e Z J J k p c b X O J J I P V + P I A I L h b 6 4 V B i 0 2 V g d a W 4 4 5 E Q C 0 v E 7 k U t u 5 Z x 5 0 O x t u N R 7 O t r O R F t t + z a N r t 0 d U 7 j G p J A r j l a 2 L e X v G L e 7 x z 7 J 3 T s n + L w c + h k f T 7 I Q B 9 y w E 6 S R W o P w g Y I J + G b l O 0 z O u w 0 p 8 G X i U L 2 1 7 D q w 5 5 h S X 8 / U e P M u b F T B / Y k 0 T z E n j K P x F 3 s c I I n G R u L f i G J z W D f o J X y F f v c x 7 5 o T 5 x 7 y l 5 5 + V U b k k m 0 m l l 0 7 c b y E F K 9 h Z o x t Z X 6 q 9 0 S d r g G w o L N 4 e e f P H 2 R w F Q i x i O 6 A I 3 D 9 7 n 5 O V t Y 3 b L x I y x j 3 5 J N J M n W q D n h n 5 g Y s E O j A 5 7 Q Z G T s k C Q w H F q 3 d t k 2 T F a 2 S B N h 8 E I A v J R s n 7 i R i V g G d U F c 7 N e E 3 e X B i F R K z 2 b O C Z c v m o S I Z X D y y J i k g p 5 D v j y k 0 u v 3 Z u 2 l y / f s r W v z 9 v q t B X U l i / p E N u q U u r S A D 5 Y 3 9 P 3 l B z E G 9 s H + r 9 / v q g + 7 f 5 9 Z H y w f d h 1 n / D w H t C O t 6 8 c D 1 / I k X C h M e i I S u l N R a a J 2 S d 5 1 D X K v 6 o h 9 I 4 i 2 s W E n Z I C z E 4 Q g h f U W X 7 b O 4 k v W X 3 3 N R u p v C R b G 1 V e C K q I 6 x o Q l M g g 5 7 C X C e v B 6 b c o u A u A Q a V H a Z g P v t L v j E a h J 2 S Q 4 e N p l f z A W 7 R q H q s a t r O v L Z f Z O G t Z w t 9 t L L 7 + l 9 8 j m E Q E D 2 9 x M o q V w l H c L 7 W U c N O B + 8 F 0 H 5 1 r E E Q i N + + f 2 h e A H y n 7 / O n 3 x R c / U b Y 1 6 y Y a G u m 1 o o M + J W d U V H e E B J Z Y w 5 X T W 0 a U 2 i X m A + W g S h A f R G g T O o l X I c O X P 0 6 t x c P 3 M z 3 z Z 7 t y 8 6 3 N 9 X / j c j 1 k q 2 e P z f H / y z T + 3 J 5 5 6 0 q 5 e f 1 d N Y 4 l T s N h V v K p b C W J j o Y 5 a X q + J e W X T P 3 b 2 0 E X W t 9 A u F D C D v L a 6 6 i 7 W e D J t V 2 7 e s 6 I 6 z r G u p B Q Z Q Z 8 7 f 8 Z y m y v 2 6 c + + I I O x b t t S o e G w N B A x V m K k / n S v x a V + w a E s U W Y r F J I V g n f Z n 5 c G 0 0 E I F 5 Z o 4 I 0 h i T 3 x e j g z G E j c m j C I M 6 S M z t Z k X P 0 a s 3 / + v / y x 7 D A S 2 J M 3 r S p N B q O r a Z L + D J G r X n 1 6 r g d p K 7 e h 1 C b P q Q Y 0 4 c c H i l + r / 9 M 8 7 C e 3 o T 5 w D e X D G O X D y g e v u / + X n k s 9 + B 1 4 e d / r t 1 f 4 G c E C Z R L d Y L V t M V K b b N C c 4 J S g t 8 Y i L k E V Q 5 K q n 9 E + x O g R C c 6 6 N e x g G J x P 3 N 0 s 8 E y 2 B v m 7 S c o S k U a v d z 4 u b V + y k g k G 1 k R o 9 W 2 X + s O C 1 G z T i e S G c b E x 2 T y M n A 2 4 3 O m b T K 4 o R H L A l l f y 9 t o b N 2 S L N X z s w F d k X a V N 9 x n K W 4 2 Q o u 9 1 7 P 3 9 3 k G h x X s H L / C y 9 / v + M / w 0 T + E a / a 1 n o d y x a Q b 6 U h 6 o y j 5 c m A F p M V M s h n u c a R O N K T a U B M 6 g T B O 0 c F s 8 K c K P 2 9 G D x 0 W v J f u R L / 6 E B z C z T A Z b / t S p h 9 y j n N 3 C N z D k E S m T U 5 P u F d 0 V G p t b m P E F s 6 x 2 S L f r v R t F 1 S z i / R u R Q C D 4 O y E 0 E c I F j f c D b w W T Z 3 N S Z + w 0 D v x i C 9 C 4 d E C l z C p M X I Y N X 8 D W 2 x 9 s i n X z 5 k 0 b G R 0 X J t 2 W C u 6 3 V P e I 9 f c P W T g R k c G 8 a p N z d z 1 f A F K S T Z 8 7 Z a + R A Z S K k 1 0 J 6 E e v M S 8 W r K 0 K J B X 1 Y d 5 r W / b D 5 S t 3 7 e 1 3 r t m O m G t 6 h T 2 r h I / F S N v b m 2 4 c 7 w r X V 5 G 4 5 Y L b c N h c F L 5 T 9 o e K S b 0 P K / y O Z 6 m m Q d 0 / Y C p X 4 R x 8 Z z x 1 3 Q e P / f L D m O 3 + r y J U 7 F Q m O m n r h 2 k 4 C h H M G M 0 I B x A D G o d V q c B u o g D q k Z D s l + k g f R i a R e 8 n p R t O H Q Q S E 9 r A n Z I E F 5 o e 4 l g r 9 9 q r + c f s z d B P 2 6 3 W X 7 I 7 r b 8 s C S w N J c 0 + v z h v Z A 8 m W J a c G W w 6 M C 2 E g p e 0 L n u F M J 4 j Q i o r m Y K 9 f v m W 5 T Q I u 9 h O L a 1 S N k y r U G m E E u 4 i D r W Y p t E + 3 e t e I g 6 W d X C o x 6 V 2 d L 9 u x L 6 C g R 4 8 v M c Y x / 2 D 6 x g E B D 6 a P W R t 0 j j M R 3 k 8 o z Q 3 2 w T 1 C 6 7 B E I + c e c w + + c y n 7 I l T T 1 q 8 0 W q / / P O / Y b m N s j 1 8 6 n F 7 7 u l P S B C 0 W K q 9 W z Y i / d M h Y R u 3 k y f O 2 n P P f t w y m a x 9 / R t f t / G D Y 7 5 G 7 O T J w / b W 2 6 8 b + S V o F + F M 9 U p R C q D V I v W q + x e e u v C Y / e Z f + V V 7 9 J F z F v 7 k x y 9 c 9 M V 9 q q x n 2 4 m G R f C s N y K h H 5 O 1 / b a 8 v O 5 z R U A I B v H g Y K d V C r J t d p u 2 M D N v W 5 m M P X r + W U k 5 8 D j u y X Z r b e 8 Q Y + K K J P l I q x M R k 2 s s I c Y d 6 w k N 1 R H s s b u 9 N 6 i E p R S E Z N j Q 7 P V 3 L t m l y Q 2 7 e m / d 3 r 2 9 a K 9 f u m G v v n H d G t J 8 G P c Y g C h c R B b e P y w K 0 Z s X v D s B k W s w X L J x M t B i v v T i h 5 X 9 e / Y P l Q 8 l / T 2 G 2 L 8 M 6 L h / 7 s O K X + c / C y i I A D F s X S N B h P o h u B M p L M Y L R W x o p E c Q r e g J b p L x T g 1 q s H q X J e q F m h B E u s 3 d 6 P Q H 2 a N w 6 E T 1 k K j G s 1 Y s e 7 g O W Y E S 0 m r b 5 b h l Y u 9 3 Y v S V v 2 O F 4 r Y g v g z 1 X E 5 C L e Y a a 3 r p n t A J M C n h t B A K 4 9 r u s G 9 9 5 y 0 x t K R y S Y J L 7 X S N 9 G D Z / 9 M b q f 7 m E 9 i w z x f e A Q 8 c 9 w s X f d i P + 9 8 R e X q W G C n C i o L 2 i J 0 4 O u G e P u Y z C 9 K W j V C b T c 4 u S X u l 7 M d / 9 M f t 9 / 7 d v x d 8 T Q r O d t n B g 0 f s x o 3 b 9 s J n X l A 7 i 3 b n 7 q Q 9 + t h 5 e 1 c 0 x t J 4 n n 3 j 5 i 1 f c j S 3 M O v B t X / 8 p 9 8 Q r e 7 Y 3 X s 3 j c 0 R i P r f l m 2 F L d v f M 2 L H D p 3 2 u U F 2 g v k 7 f / N v C L F l 7 M J j F y x 8 4 f y x i y V 1 Y r 1 Z t a 1 8 s K A N H z u T s S R 4 f / T h R 0 Q o E Z u a m Z M t J M m q j j x 9 c M j Y n J m M O g S B E s R 5 7 L Q k n K Q F O d o O H 3 n I n n r m Y 0 Z q W k J A 2 t J d 7 t m r 1 9 k 6 J T C S q S B 2 F b u 9 D 0 j j o f 9 W t p v 2 L 3 / v O 3 Z j N m t L m 3 X b L I b c h d 8 M S 0 8 2 h O 0 j b A 4 Q 0 W B G R T R E W D N n o Z E S U Y a a E X U 7 o v K 9 4 t J M G s u d A K q 3 G 7 f 7 Y / W D i g Y J k r h / c M 8 P Y B T K f l T I v t b 5 M K 2 1 f y 5 g H a I D 2 O x N 3 6 U S a Y Y X X U K 9 c Q H F I o J 6 8 b p P U X R 2 9 H l 8 W o e g B S m u S d T C F j r C e / 5 O I u p b h C r o k 1 h b 3 O e U 8 F q x U z 2 Q u i X a a U t 2 f O 8 l Q T k a e k d Q K a U X 6 h 5 B R f I D k g O E 2 L 1 U M i Z 6 y F g k k d Z n z F 5 8 + Z L G L y p U I P g o Z i c v A 5 V + X 3 v 1 n 7 P Z X h v 2 T g T H g 9 8 Z p v v a S N e 5 P c X 3 D x 6 6 W M / n G / 8 L S 9 A k I k 3 r S r f a 2 N C g a 2 U c P R F p m 5 m F d b t 8 9 a 7 6 J G 8 P n X l E d v + q 2 0 / P P P u s 0 + k t M d R n P v 1 Z z 9 3 Y 3 d t t H Z 2 d Q j / v 2 q O P P m x 3 J 2 / b 9 O x d 3 T M n N B W x V K f s z n Z W M y R 1 7 6 Z 7 N 9 m K 6 S N P f V T C O 2 a / + A u / Z o X c j k 0 c P O j L T H 7 y S z 9 p X / / 6 H 0 h R H L D w M 0 + f v k h E N h m F G I R 4 S 9 R D V 2 J i L A I J + z V w Z A O 9 M T l n Z V E j i / 3 O H B 2 T M S g J K P X H 2 q h w t G b 5 j T X f R S K 7 s e 5 5 2 q Q Y p R Q a d v v W P T t 6 8 o x t r C y K m 0 v u l a H z N z f Z 3 V D E r o E h g 1 J Z g / X v / v R V Q a 6 0 V c Q w z I y 7 l 0 r X O q G q T x 3 f 4 + 9 X 5 9 Y E F + 6 f Q / P Q 8 c w J 0 P d 7 h M u 8 1 7 7 x 7 + 7 r v 6 C G 8 u v 5 f O D Q y e 8 9 H i h O W B w 6 v / 9 + y n t 1 2 e e Y 4 D t w j k g O Z t z 9 u 3 D v P h H i l H G W 3 i 3 a g W E Z x 8 L u b H B N C B V z f W T Z w d N J s s n N j Q 2 f W 2 J 3 i Z I Y l A D W s q A I u S c Y Q 9 K S E U n u a 5 x K R e t O b F t H Y 9 4 6 m k s 2 G F / X M 0 O 2 m W M j g J D v F t / Z 2 S V b o E P 1 S F i 6 a 0 R E t 2 S T 0 0 X b 1 d i X i 0 F Q M 9 M l 8 I G 6 M y j v a z M a 9 w E G 8 T Y F 7 Q o + u V e H z r v A 4 3 B K 0 P g x h r Q b O 5 i D l + k z u F 5 P V R + x 6 w h O s 5 G R Y f d E p z q 6 L b M t 0 + D a p M a f 9 A Y R M d T D n u O E y H K W / G 9 k 1 m R n 5 S V Y m 9 I 8 f 6 g + y d s r r 3 x H z 6 z 6 D o z 5 7 Q 3 1 V U j M R E 6 T V t v a z q g W C L S E L S 1 s q E / 6 r H 9 g 3 D 7 2 / M f s m 3 / + o m + K M D c / a z 1 9 4 8 Y G 3 S 9 + 5 y W b m Z 2 z r 3 3 t 6 x Z + / M K R i + y G g D u b Q M 6 K 7 C H C N J g F Z q 7 n 5 o 1 b n v F 0 o 1 S 3 9 b x 0 g G D h K W m o j n R C E C Q p h m r z u Q k i K 3 z n A t k / p G C + d e e 6 Z d a W P C Y w v 7 E k I S x b r L r j 3 h Y 8 h n Q Q 2 2 e S 8 k n Y x b Z 2 m v b 2 u z c F Z 8 I i G K Q u Y o w B C A r D A Y O h C f g M f h G D 6 L t / U 3 0 Z X w b W m Y t B j u i A g f Q s J q f x R P k A 7 Z f 7 R P D + Q g o x f t k / v O j L g + f u n 9 8 v v H O P e Y M / 9 6 k t + L 5 f L / 9 b d y M I e D + r l 5 2 G V P / A U b H 3 D A k M c t m d O 3 V E 0 D j n k f u k 6 2 K L F / L t E a v H I r m 4 N F B 3 b 4 8 H i M K I z O W 1 y Q 5 K R h O e q w 6 b j c 3 v I k I H n Y 0 F G 2 v b t J H k p o W 3 b w o O r n m y S d 9 E O x q 3 r q 5 e t 9 M i g t U x j c n a W s n u T a 6 6 b U W a t q Z + 2 0 8 I y X y d d z h F 9 Q 3 a z S H w T d v 2 e u l 7 / 6 n 1 9 I c z j I p / M i Y 8 L D j 8 U f c f r u I n J H z p H x 3 Y i A T r s j x k d m H V b t 2 W v R d O S n v E H Y 5 C V 1 V S 0 x U y t j g / Z b d F i 7 n c h m U 3 V y 0 t Y Z / N b 0 i T s 0 5 M J o i E F p t 8 A y s T Q l 0 o C Z x d K 2 K U 4 c E D 6 m s y I L X Y I w + f t / P n H r a 3 3 n z T R k e 6 7 d b U P f v W i 2 / Y 9 N y i z c 7 N + W p o 5 q P C n / v 8 M x d z h S B Q M N Y a t w 5 1 J k T P z H i 5 X L X 1 z W 1 L J F l R 2 m K 3 p a X a E h 0 2 2 B 2 X N O u W A b h h w / 3 d N j o 8 o e u k Z Q T f + v p k X 2 n w 1 i U V C H B l 2 U J r l E B M c k e Q j 6 0 i 4 h E T y X 7 Y 3 q n 6 r u 5 X 7 y 3 Z n 7 3 8 t i d c b 0 r K E I H O Y H x P y N A e Y f r g + X e d d 2 n / Q O d T + I 1 P S T P k X 0 P G + r 5 X z R l w / 3 o + f f D f X y S M f T j 9 P T y I z 7 2 y / 6 7 9 e t w / d I 5 3 f L D w G x q J z / c Y S u / 0 B X b U n X f w P W C o + 0 V 9 E N d P J w 6 P y r Y E 2 k h r C W 4 Q h k T a A O x W I B 8 5 7 k j c i A 2 F P d G T T t u o B G B S h E 8 W J + p F p A Q H a c h c u 8 n u Y q l 3 7 0 C / F X e A 4 d L y q i P r q W 7 c m n I t z u b d R I 2 v r m a d K V s 0 Z i x 8 x C 5 D d K m 6 a j B 1 5 w 1 8 8 L k 3 N t 5 7 7 2 e S 4 O + 9 c 9 z s Y 6 y D 7 / z 8 F y i g I w Q Q E R / b s h G 3 Z A + V q 9 I l 6 s u G 7 H k G j q X p q 8 s i 8 N U F Y 8 c W 9 q u q 1 P I y M W L W 0 9 P h d i i x q 3 g x 2 e W D N V n 4 D j q l w U m b 5 j v M F P T c M l l r C w 4 Z W Y / 1 8 N k z E l p F N b l u V 6 6 / I y 2 W t T v T q 7 a + u q X q q 9 2 i Z x Z n h p / / y M M X y Z v G Z F h a D 4 3 g o J A 0 x 1 V N r r 6 B / m F 1 6 q q H e 7 C N J 1 v S s N j t 0 D j 5 A Q p i b G L F y n o Z + 6 b O 6 j m t k g A 5 n 7 B l G 5 U t Z p 1 F A D k x T 6 y t 3 5 c t 3 F 3 Y s j / / z i v 2 + r W 7 d m 0 u a 4 u b J T V c x C V b r a 4 O I V S H h C T 7 B I i H D s / f v h e Q Q W O i 9 0 F I 6 A O 5 d / 3 + J 0 P r k d O S H E z g I V n 9 F 6 7 d L x / C U P f L g 9 d 9 o A S E 8 0 D R 3 2 z l q f / 7 c Z 9 x O c 9 7 9 + t G Q U u G V H e 9 O k g E Q / 1 Z 8 Y m 2 8 u H x v 1 t 2 Q 3 Z w q E s w p 2 j b 5 a b G o 8 v b U 8 H Z k N + 0 n X q Q Y b U p S F 4 i m l + w Z r i r x 9 b X 8 9 I k r R Y n 2 q G y 7 d 5 Q H B M F D X h Z Y 4 V + Z 0 0 P Y 0 a W J t 9 V M N K w x a 2 c 5 B y a a c c W 5 r d s b i Y j + 1 j 9 X h d q E O x y K P p g u x / 4 f v + 8 K 6 c 9 R n n f w f m 9 4 3 v K h 5 5 8 r / B s E S w 2 E Y 4 y j 0 j n U + K 6 g V N H Q i k k w Y K 3 2 P t W a K h W K Q j m p v T k X W n h q E 7 X 7 c D Y A Z 9 i 2 M y w T k y C p V w y 0 u A x r 4 Q X l Y 3 K 2 d S c F c h q t T R 1 z F 7 4 w h f s O y + + a F 0 S R q + 9 9 h 3 1 Q 0 N 0 P m l t Q n F L q z k x t B o M M 0 k A 8 c z w I + d P X M z l d 8 S x H e 6 C 7 B C c Y B 4 o y 3 4 5 k g g 3 r t 6 w A + N j o u p d a x e + J h f 3 U H + v H R z r t r Z o 0 y r b L b p + C 7 7 y l Z + e g E U P j 0 t C P v H k c 3 b t x l 1 3 T r x 9 f d p + 9 + s v 2 e W b M 3 Z d M C L P p G A L G 0 W z 4 A y I J 8 J H 4 k F k + u d 2 h v 5 0 G I V 2 g d D U s Y H 9 o Q F S x 0 G 0 n H P i p d M 5 v z + w F P 2 J z e F w D / v J / 3 2 g f A h D + T t 4 N n / w / L 1 3 / 7 A S p K G i G u + 9 h Z j C 7 y 3 6 X d f S t g d p i b k / 3 g N M 5 Q l A n K 5 0 1 E j j v L a 5 o T 5 Q v 4 r 5 o r q v q 6 P d C P 8 N S b o S X U 7 q 4 A N j o 7 q v x b b F K E R h R x N k S a 3 a 6 W P H J O C K N j k 3 K 0 g e 9 3 w d T G W Q i M X n 8 n T N l q R z r R 6 3 a 1 f n L b N e t u 0 s y 2 e C t t B 0 Q r b 2 + 9 7 r y E n a s P 9 9 r w Q 9 r H P e s A 8 e z m 1 7 n w 8 e Q X 8 9 2 G 9 c 5 S / m H O / U u 4 n c 8 P c h X L G l u c q 9 p B K Y B G K q I D R h Y B L o k A a B B J 2 J V g R C R P 1 z 0 I o S K N t q K y u E E 0 S j q x + 7 B H t H + o Z 0 W 8 P N E j Q W W W N J l / b 1 b / y h N a s N T 1 P d 3 c O W Q Q U r S k i V 1 B / z K z v S a k F 0 D v Q J v g i t r 2 9 5 a D p S H D c g K 2 W Z Y G V R F 9 l f x g + M q u O b 1 s q K x 9 0 t O 3 q k L / h b H F s S F 2 H 0 e s L + V q l Q F k M 2 Z U P F R E S R d v s X v / v H N r W w a R u F s L 1 2 e c 4 K z Y T t 1 K S F U N G h u F U b 6 i B B v L A 4 B / w J 4 z j s U Q W Z C 3 I P l g 6 + 0 9 k M 6 P 7 B s m V 3 Q u g T 7 e U u 6 / 2 B 1 e 8 c X M e O F I H j A s k V / O y F j u f 4 k I J G d C i p T + E t 7 y z e 7 3 X g N 1 3 D O e 7 n H f s F z R 6 8 Z 6 + u q s + D R H K / Q B R 7 h x e u E R E E C 9 U E Y Y B 3 + t p Q V 1 y / u 2 C h e L c n x 4 x G 6 7 5 c Z V Q w e 7 g j b c d G R + z w 2 J i l C T X S u + O y m y 5 f v + k w s E U Q n Q Q k t O W N 1 9 6 w u / f u i c m a x o 4 o 4 6 P D Y k w R Y p 0 g W t l i 1 a j s i 7 p l N 2 T n F i X T Z e K q N e q u q u r D f k k s F a e a H 9 5 f 7 y t A W R E 5 A j K A 7 J D Z g 8 c + E 7 1 3 7 P f t g + V 9 5 9 Q Z g d N G 5 3 n k A 9 f C T D A v 9 j 9 T D U 0 J C V I m s 6 J h q 1 C x 7 o F x M U F N S G t I d M u G A x 3 W m u 4 T 3 B 1 R 3 + x a h / q z R X 2 0 s D A r A d Z i S w u L n g Z v b O K A s c U t y 0 R G B v v 0 y l 3 Z S l M 2 N X 1 P u k u I S 0 y 5 v 3 W P K k Q N a I k O d W w y m f Z d 9 P r 7 + n 1 C F M 4 F l x P f x A Q a I U H E 2 z H R + / D p o 7 K P N m x x O W e d / e N 2 7 N w Z O 3 v + a X v x j a v 2 7 7 / 1 l u U t b a 9 c n b H / + X e + Y d 9 4 8 a r F e k / Z d y 9 N y Y i N 2 y c + 9 W k b P 3 R Y O L d F h r 8 U t u i V 2 e q K 4 K B a 4 5 0 F A T S q s h N U D y S 0 R z h 4 l Y O D i U u g B z P h d C Q r b r 0 8 0 M l O 5 H v P c c 3 E Q O j 6 w C + 4 V + g I 7 4 w P L / x C 9 D I T n f T R f u n q 6 / N O Z M 3 X B + + n L v u M z T V o O R h s n z C o F 2 3 y + 3 S K 8 5 z j G i S u r 3 B F i N A y E U h V q K B Y a d r 8 4 r Y Y K i W 7 J o j o X l l Z l g Q V T C 6 W b H Z m z p 9 z c H z c n Q k I w 8 o O k 8 B i B P 3 r 7 u y w c w + d t R P H T 1 m x F O y w s i n 7 V v L R 6 t W 6 B F P C X n r 9 n k 1 N F e z e j U W N i c Z B c B s B i 2 M I p p B l o s r u 9 f M P K S J 9 y Y T 3 D i L L 2 a g 7 O K r B J + d 0 a L T 3 j u 9 T 6 L f 9 v t S / O l C u x v g T r g Y B g y L 0 H A m g X b 0 L c 0 F S R 2 + g 7 6 T F W l q t E W n 1 7 w t L s x a P 6 7 p G x T Z k 4 r z y x t s S J i n b 2 N q 2 5 Y 0 N f C k g N 2 N X R l I B 3 L 5 9 2 z q J f o i z O Q J M 3 7 C l 5 U V P L r S 4 u C x m 0 v X E 8 1 G P P f K A G s L H H h q 7 2 N P R I d W o B 8 F M q j x J L f L l g n U K U z Y l x V i S 0 V R j 5 u b F v f 0 j k n K 7 N j m z a r 3 i e n Z p / + f / + h s 2 t Z K 3 L e H 8 N 9 + 5 Z r N s 8 l w V E 2 q A C a A l G v j w o U N 2 + u R x O 3 P m I X v z z T e k f B i s Q B L D 2 R 7 x q A / q x u 5 8 n o 8 A d 6 k G F o K D 8 A J G Q s r R h 8 T + 7 U W V 6 y E w I r Y X D 3 T N o u u 8 g f p 0 g u a 3 D y 1 O 2 e 8 d + h u 7 h m S c v / b r v 2 Y 3 b t 6 w J x 4 / 7 2 t k 2 B P q Z 7 / 8 Z Z u + d 9 s n B n O y D 6 k j G h K Y B r Q c H B q y 5 5 9 / 3 m Y m J + G g 9 5 E L 9 e B w G L s H + d B G r p W 9 I z g f D B 7 t Z V e H c D 1 q h S 3 Z R h P d G n z B v p a o e 6 p Y H l 6 Q Y R 6 O E 9 S 5 Y 7 2 9 P X Z X z M U k P a n c U u 2 t V h Z T E R r T k O 2 0 z N 5 a 6 s u J k R G r y b g m Z o 9 k j t f v L d l y t u n z S + 6 6 0 z W w E L Y J N E / c G 6 R C 9 X z K g f 7 l u 3 e n / + 9 9 h X u / x 4 b 6 Y N k 7 7 3 N w H B 9 y i b 9 w 7 7 N F w p x 5 M r 5 D A 0 E + C t 3 P J 3 + r v 3 x Z u z O Y f t H X p p g I m E q + w I 4 O t j j d c v s H J 8 Z 3 X 7 8 q q F a 2 4 e E h o b K 8 b + q w I x h H d i c 2 I y C e D 7 t 2 Y 2 3 F 8 6 W g U H L 5 b d v a E Y I j e o D N 1 m J p W 1 1 B w O l 9 Q L 6 a T k s 5 h M 8 + d v Q i + J C V t B p C r 6 T G 0 l b J n 5 1 k K U f U J i Y O 2 t L i o j R L 0 g q l X U v 3 j t h 3 X 7 1 q 7 1 y + b j d v 3 7 T t W q u v 7 K W E Z Q x L V A r n C 6 K I 0 N h l g S 0 o T 5 0 6 J c h Y s S 1 p t 6 t X r q g S Q Y J L 5 m F I o R W s C n 6 P 6 I I / / J G c D D p 2 r 5 P 5 R E P 5 e R W Y i d / 3 i Z U C k T p j 7 Y 0 L v 3 / o 8 S G F 2 M C P f f w T / n 7 f Z l / P f f i R c z 7 j z h 5 J J 4 4 d t i N H j m g Q K v Y T P / k T u v a j d u L k C X v 3 N T L w j H h b g a 8 w H 5 m b f u q n f t J e f + k 7 6 h z 1 s F 4 J M H D X s u r q y / P 1 z / M R 6 B N P n c 7 6 h D i Y H l t A Z q b 1 9 P d b Y Z v 8 H V k Z 2 2 J u w Z p V S c q 7 i c / Y 9 c p Z e 2 N t y K a q Q g + R 0 3 a y d d L f Q U p s 8 q O 3 d 3 R J K 2 1 a q 5 5 J w l A i M V p 1 / 0 4 l Z D d m l t y u 8 P V S g k w Q O O + E S G j 3 f n 9 S 8 Y C J H i z f 2 3 / O J D 5 w e 8 e H d 7 G X f f c 6 / 7 5 f 4 f 2 M t a e y U 1 + y 2 J D d Q q A f I m u C / t S n O w V E Q 7 r e t 2 1 t I X l l S L S 3 Z M O j 3 b I b M 5 4 r p T 3 V Z 1 P z m 2 p a x L e 4 x b O H 5 7 K 8 W 3 L T J a 8 + I w f H Y H + v x p 4 I f N 4 R C j b a 3 m V z t Z h P M y T a e m x x b V v P U R s k x D B L E O z h j 3 z 8 s Y u b k l 4 D g w N u r M Y E 9 7 a L O 5 Y t 5 H Q j G 2 E N + G Z q W 1 n 9 X W p a U S + + e n t S a h M V j C 1 T t 7 H h Y V 9 N y + p K O P V T n / m M J d Q J n / z E J + y V b 3 / b n n j y S f u D r 3 7 V 5 h c W 7 P L l S 1 b b k V E o v F + T R I f p 3 K k A g 6 g 4 Q + k T B n d p R H d D X A 0 c C y 5 6 v P s d K u l + C l o I m 4 q y z 3 R E I f t 3 C G H v t / e V v e s + v L T Y 7 P S U J 5 Z n N 5 L Z 2 R l B o h m 7 K 6 0 z P 6 P P 2 7 d s e m b W 5 2 R Y / F i U v Z k R b L h 1 6 5 Z s z g N 2 4 s Q J Y 9 d 7 l l G Q q 5 2 4 x Z d f f t n b F d R p r 6 3 + / 6 D N g a Q G + j X 0 X A T N P r G 4 / t b z 1 q y 3 u 8 1 K l Y L n 6 e s S o k j G E 4 J x D c u E x n R t w K R 4 S p O N J U v E p J 3 U B w g E Y D M P I d l + S h A Q d 7 E b 9 Y J D 6 x r z Z c F 3 X 3 P E / a o L k T L q 4 f e Y S S X Q / n t / U D 7 Y p x / o z 2 A c 9 o 7 3 / 6 R 7 0 X q I D 5 4 f H E C 3 + 5 f p 0 Y y v O M M 9 e + z U G B J h k W M E Y Q M q 8 O X o a E x d 7 B q d 6 u g W 2 o H B 5 9 W T 3 R O J i k 7 r 0 j 7 t E h a N q n X 1 j N q N 2 y u 6 K y b m y d v S 0 p o V y i V P K 0 Z 6 u + x W 1 p f A H x 2 f k K Y y T 2 W d k y 1 a 0 r i Q O T d I B j t u 7 w o e s 7 N m Q / C Q k D a 3 l 0 X D 4 Q t P n r i I J G f 1 J 8 R N A g t y Q + w K v y M 1 O 1 O d b u x O T 8 9 Y V 2 e f 5 U t Z m x G R 7 e y K y J l P k j T r 7 + z 0 T Z d x S O A A O H v q p A 0 J + h B p P j u / Y p / / / B f s n g j 0 K 7 / w i 3 b 7 7 j 1 j u Q j p x V D S D C C d h p Q A 2 j E Q d F M I y K F O D s v Q Y k G X L E 6 d f a + 4 F 0 6 d j m Y j / I n F h 2 q S a y W W o T g j 0 k j 0 P 4 P r A / x A 4 W 8 n 5 A + c 3 y v u Y t d B v n e I v C B 7 h Q l F 1 i J l 1 K 6 V Z R h t z m 7 d v G m X L 1 3 2 T 8 Y Q B n z 1 1 V d 9 G 5 t L 7 7 7 r 2 V e / + 9 3 v + v M o 3 j 7 V D y O b d t P Y o H p B f R 0 6 Q i A O C Q M o C D G T J Y p V q G R F i k Z b D J j O L h R 3 N t M a E / V T W 5 e u D Z h q 1 Q 7 b A W m p l K A f S x j 0 J G d S i D S b y 1 l + J 2 8 9 n b 2 2 w T h r D G d n 1 l Q f w X r k l d s E 9 E n Q 3 3 z z H v L / f b A 8 c J J G U J D Y O h 8 w y 9 7 d r r U e L M D x v d + d 8 H W m p a r L 9 I X h 4 h z t 1 t / Y f P Q V I V I s Q c F t j p 3 J v d Q T r c U Y 8 0 S C E Q I t G z C s y w O 2 m 4 k S 0 d P q t N G w V l t Y l v C X / c O a P Q Q W O U h Y k C h y 9 6 D w t m T Y H j 1 x 2 t g y q C j h w w Z / K y t L + g 2 K j Z j 0 j / p O 7 4 X + p d m 9 1 1 R X T 9 L y I 1 / 6 6 M W S J C w z 9 a R V Y k k w S y 0 K Z b J r 1 n 0 Z e n W H L K e t a l y L d f Z 2 2 M S R w 9 J S M + 4 q x 9 B M e W I L q T 8 N J u W 2 J P i d m 9 d t a 2 1 B t l n a 4 5 0 O C i K N j 5 + 0 k 7 K h E F A / 9 q U v i h A v o V 7 U O C o a F I h K F C w 1 q v p o k N U H 6 u A A v i E F X B L o O 3 1 O 8 f k p N c Z h g X o Q F 7 w q r u 7 V F d R H 1 / s z P 1 g 4 9 y H n O f M A K Q T F r + U s B K u v 1 A 8 p G P z 6 A w v 6 N t C s u l o H 9 z i j e A 0 h G j 1 V z y Z L D 4 Q R V E m / 8 B 5 s R N 4 D x N E z d j R O w w M 9 + r l s H S n S e 7 V L w 4 Q s U x T E T g / o H t o b H A u 7 h + 1 s 7 7 J P g T C O B Q k D I l / I X 9 j d R 6 6 E r P d v T W 2 a X d x y Q z y o F + / W I c a 4 3 / 7 9 8 o N O 7 P c l H 8 4 R + 4 c T y f s O 2 M 3 L f V s L D a N P / 8 8 f o M + g D w j Y h U d I u A l D u f c Q j a C 6 w l C k U q O + 7 s n l E z S D d 0 E s R q o 1 A n y 7 e p N 2 c H R Q m n 1 b 1 7 b b 4 j J Z Z Q X l f V y k V Z i w r u l + v T M e h z m K d q B 3 S L Z o z N Z X 1 6 y x 2 2 K Z 3 I a 4 L W F r m Z r N L u x o 0 N p U S 1 W s L B t V d c f E w N Y L n 3 / 8 2 M V W M d L y 2 r o e j n p E I 4 A p K w 4 X S O K f 3 c x 6 U o v O n r R 1 t q f t 0 O i E v f r y a z L w V C f p 2 s 1 s g f r r B a q S W g 8 B 4 3 D Y k e b I a y D J 6 L q 6 u m D T k 1 e t I k m / s r z m a c X m V x a s J o I h b i + k x t F Z L I x j W X 5 f n y S H j G 0 W j m E g M 9 T U z z W T m M e J d G 8 Q / Z y + o u G A N 2 g s i I P 1 W P 6 7 / n 1 o 2 S e C D x S u 3 j / e K 8 E Z 7 C v / 1 L 3 B 0 L 9 3 f O h b P v g K 7 n M p G n w P T n E u + N O F g t 7 h j K Z + c W n r D 2 e e o 8 W 6 U g m r V 7 K + Q T N Q J C Q s v 7 r d b v X S l k V l H / i z d P h G B 0 j p / B 1 3 3 n R 1 d r m D K E F 4 T q 2 q Z w W e 2 1 h r 0 m 5 P r R o r s Y P a A D V x 9 v g f w a v 3 v 3 y w U G H O v + + 3 D + 2 F 9 x X q 5 8 z k 1 w b X g y k o + w z F f 8 Q Z 4 s q G J s j t s C 3 t K t L 1 a 5 h o 5 j H k 9 P O + 4 1 9 E Q s D P c w g t y V a M C v L F 4 i 0 S + l E r S e j X G 2 K K j b K u S 0 g w I 3 h x C O s B a O h m T c o k Y g n R f U e C F A 1 N y 2 x u W a 5 U t R 3 R Z i Y v Z l o u q Y e S 6 t s W 0 S Z Z a t B y u l 1 1 F A c T U C 6 I p D 9 I d s k + u w w o D W Y i j D U 5 z E u R T e b Y 8 a O q H B 2 9 a 2 2 C H 6 c P H 7 C 0 7 8 T O O T V S 1 y M Y U N M Y r + R z C M W T F i O a O d 5 m O 7 W Y z Q u r v / 7 G K z Y 3 d c e m r l y z U C 0 e S J Z 6 4 K L 3 D Y P V Y V E 1 5 M s / 9 Q X 7 z C c e s y c v n B R B B B O e D g / d 2 b D H T L x r b + Q h Q g r M R N 5 u C k v n y Y b z o Y X 7 H y w 8 Z / / Y / 3 u / + K X 8 p n f o 4 C f e 9 s H j Q w s 4 g k f 5 4 z T o / i f A i p 9 E G i I a Q p 1 g M u A M f / j S D j E B N q L E g 4 W 5 T t / Y B W V e h n A k n j Y 2 h V j K b V l H b I U H e 2 H b o V C 8 / f 5 x t 3 r G V 5 H 2 d X f 5 F A L P 2 7 W K o O o 9 2 8 i v C y b K X t 7 O q X / V J q S j 9 J U 6 V 5 0 Y 9 L U f w a P / o x Y 0 M X 3 4 4 B E U E X b Q 2 V 5 c A 4 n o g W 7 p F A 4 y f d H F 9 C F I B Q d F M I 5 7 9 9 x / k O q v / / M n 7 v + W R s Q W Z 1 d 1 X 9 j W V t Y s E g o 2 u f D n q J 9 5 A W N R r e k 5 o a T F E z 2 2 V Y 3 Y 5 G r W S i C o W N g K 1 Y Y t r h c 8 P A 7 y I 9 q + v k u y H D 1 f z I 7 p o Z M W P v n w + E X S h 6 U F 7 c C U J R l m v X 0 9 t i 1 m w l 1 4 5 N B h Y f W E b 7 C W 6 m x 1 O L W 2 s u z u Y b x 8 L c L m f e m I H R z u c R w a U S 2 P j S T t I T F c N p u x s a F u a 5 R y I g r W 7 M Q k Y U N 2 7 F i f / c w X H 7 P u o W G 7 O 7 X g 2 q k K p J M R z / p / s t B e e u u a B p 7 A w 1 V B w i B 0 J I A k N D 7 o R + / G P c Z y P K 1 n 0 O l 8 B q 5 o C Q c R 7 H 9 w 2 W e 6 v Q / K / a / 7 v / 0 H F F + R 6 w 3 Q A b V Q 1 A c I M 9 e 8 K t R / f 7 r A A 3 x V s K W Y h 7 n w y E l b X Z m 1 i P q K / Y 6 S q X 4 r N d I W 7 R j W I 9 9 f r 4 f a b r o d i C M D a E 2 4 D S g k 3 h q z X L 5 g H R 3 d N r e 6 J e F Z 1 b u A l t Q B D R r U 4 / 7 z 3 v / Y 7 1 8 + 8 P 4 P L X t O C T + w u S S B 9 5 r o 9 z O G 7 m j Q 2 E V F z K z J w r Z n 1 x W W E n k 8 n 6 5 j r l K V 9 b H n H 4 / z q B p d E 0 A + t U G 2 m S j C u j v a L B G N 2 + p 6 0 a p N 0 b H e E R W 6 o p U s + c d u x V 7 L S k i R a H N 2 M S t b c 8 t 6 W D W t / k u 0 d t m 0 z l X q Q T 4 K W N Y j f P Q c 1 6 R i K h g 0 P H p 6 4 G K b Y B 0 7 K 5 C s g p 0 t 0 E w w V K c M 3 / n Z W a n a v D B 4 z m 7 c v G b t r S Q E D I I z P / m p T / q 2 o C 8 8 f d o m u h N 2 7 t i 4 X T h 3 0 s q S f o e 6 h V u H O 2 2 g P W o n x w b s Z 7 / 0 a T s x 0 W 1 P n j 5 s H 7 t w z i r b G b t y h 7 w V L P E m g 4 0 a z i y 3 G I e E m M V C S Q w u B h H W Z d 1 U o y 4 1 r Z Y 0 G o I r q j x N o k C A E B 1 B k R 4 C s j e g S B y / x l s f n P v f X P b v e + B 2 J K N r y 7 2 / f 2 C 5 L z H 3 y t 7 f 2 E b + b J 6 1 x 1 D M 4 t d E I K x U r m k c 1 C g n E A Z r n 6 G 8 O T o O D P f K n l j 3 1 c X E W z 5 6 K G F 3 M w M f y l C D O y / p u U E 2 K 8 / + S 5 a g V J u O p G x g 4 H P E x 6 B e I x 4 N O 0 4 3 Q f B 7 D H W / z h 9 4 7 v c t f 5 H r u M a J X c / 2 Q 2 N 4 v 5 P R j v Q L X Q C x m s 8 J g p Q 8 q F d w j n G m X j 7 / g 4 b g L p 5 5 n 6 E C w c B y j R Z p k k R L z Y Z 7 U t b e 1 W + 3 Z 9 f F B K 1 G c s 1 g f R 7 v 0 3 1 6 E f 3 P t j o l C R e 2 A d 3 d z d r A o N B V Y U f 9 N 2 h 3 Z t Y F I G S e U F s J A j y l M L M X m q N n h Y + c m r h I g G V V K n 9 s b M S N V 9 y 8 K T E T q 2 q X l 5 Y 8 0 N V 3 G N A A k M y D / H w D A 3 2 + p J 2 9 c 2 a n b 9 q z F x 6 2 9 r i Q + W 7 R N 7 k + e e y E t Q n v j 4 0 O W 3 E 7 a 4 K m V s l v + 7 4 + Z N 3 p H x y x b 7 5 2 2 V Y z k p i V v C o U N E y 1 t F 3 Z V 2 q t O q 0 m E I L W I X W c G i w D F A J j 6 0 V g J g 1 w q U 7 n q m 4 O / / i u x z g 8 2 G s s 1 / k 3 / v f B 4 w c V X u y F J 7 7 3 4 Y X f v M J 7 3 y n 7 f + + X D / 5 O c U a B S Y L 6 8 x t t 8 n q r z c S r M Q U Q t E v X 6 / c g 2 o P r R F 3 q F u y B d E r a S g C O P B B M x u d 3 e 6 2 W H A + e + U A Z q b 7 q a 5 z I G M X u j j g 5 2 L L F t 8 E R h M f T N 7 / A d j M R K 5 f Y + k M v F U G / r 2 / 0 T O / B 9 z / 6 f Y W f u H W / e J / v H d 9 b P t B P K n 6 v 3 h u w h / 7 W 2 O E 1 o 4 6 J 1 r g v J i R f v U 8 0 6 z q f U q G f Z G P 5 9 b w H 2 0 l 2 R x D Z I f i l U w n R T W d r 2 M a H B 6 w k B l h c y Y p + o n o O 9 h l a E O G h e m K y w I i i K 1 d 8 L V F L t l Z F y y 1 i s j 6 7 d W 9 V t p R 4 o I m G k o a U B s T 2 Q j Y i A H x q Q i X 0 c z / 7 K 4 J z L C z r 9 I V Y J P / P Z 6 W R i k U N w J J 7 0 f g N J w M Z d U i F v L C w 6 I v e S I H c E W + K e Y 7 b n e l Z q c R V 3 w Q M i b K 8 u m y 5 3 K Y Y M G c j I 3 1 6 e c U O H R 5 V 5 4 R 0 D U G O M D U S M V i F q y / W q M h m E z R h 5 7 8 w L v h 6 1 M K S n K z 5 r 5 T I T y c j X Z V H 7 U N w l P 1 B 8 3 m b 4 I S f D 9 j q A 8 U H L f j 6 F y p Q t F M 1 5 U M I h O 8 f 9 v e D 5 3 5 I c b e + i k t j 5 u T 0 P v J A e O Q H / 8 R M n u h + X 2 B o 0 O d m l w S N k 7 I V y Z W X 8 9 W 6 z w 3 f 9 e d 8 s J B P g p x 0 5 I 8 g 2 e j G 1 q b s 6 G C K g v 2 3 C N 7 d r Y o 5 B f f 5 7 l W X D U v v c k D o P m n J q 3 / A 8 c F + 9 V O q r 9 f 5 L 1 J g p r 1 r 9 z + 9 K u K K Q j E v O i K f O Q Q f r I Y g x p O x Y I I X p 1 V w P b A L u K c 7 g Y E h c p k H Q b 1 s 4 j 1 1 b 0 q n R S s S y N g + X O P r A C W l i E K X r N I n Y 8 w U Q t O d O a V S x F 5 9 a 8 q W M z g f R K t i q E C D w 0 x C R v T Z 3 t h w h H / 7 f / 9 b F 9 m M b H 5 h 0 s M 7 + v t 6 j R 3 I d 2 Q P s T 3 9 x I E D r j U 8 l 5 l u 5 A E w G c 4 B t h A l / R f z V C k c U o J t 4 X i b Y 9 K t b N H 6 9 C w 2 s S Z 7 E e 5 P 3 3 S t I + U h 8 y 3 N h N 2 c 3 7 I V X Y c x X J O G R F o E Y S W C e G o v z / H O k f Z C z c J Q + l k V p 6 t 1 l T q H u l D c 2 + P q H o m O / t W 9 T h 0 f K B 9 2 7 o c V v y W 4 j w E R N W r 8 / w L P + c A 1 z o x O L K o n s E E D 5 p p H b W A O x o 1 s / U K W I j o g c I N r 8 L h a 3 4 k O J 4 o B e D w 0 2 G v N S k m E V f W p j u 5 U 2 n q 2 X 7 K h 6 u v W t v r H d q 5 j y o Y r r 1 p e K I O c H p 7 g p a T x I W F O M q X H 1 4 w d 2 p e W S r a x W r V i P m 9 s R U T X 0 V T P D 7 h f q P c + t P l h 5 S 9 y 2 Y f 0 X Y A w M S Y C Z n I o p f / Q U O y 4 4 m 5 8 C V L S l j n s 1 m V o M b 9 a d I K H G X s Z m 9 4 / n c t x W t S l Z R K e O m B l f c O y 2 + R 4 D H K 9 Y z c B D g C O v i u I + h i b i L Z T j 3 R H Q q Z Q T T C 5 3 U r N u M + N U k N q 3 9 R z o c F 9 O 4 5 C B t r Q x s q K Z y O t y G 6 h Q e Q s Z z c H p B e F f M 8 k a o G Y y d K p t 1 u 5 Q t p l Y U m p S R p c 2 F q 3 / P a O h V v b P W g z q g e z q 2 B R B l 5 7 o s 0 r S o r k m z f v S L o u C v / v 2 N x K x m 5 P L k k q V N x l C 8 H g P v G O 2 u t w 5 3 p e q I 4 B 5 t V E Q F K K F t P v e L / o R L c 9 Y F A x 0 7 6 n 7 w c W C F r H 9 w 7 p D y / 7 9 f r / p f g z / D k M e C A U 0 K 7 A W b 5 D L A i r / a D f Q F r v T W d I i m L E N y U l 7 9 5 j o r H D E / a z O w f p s 7 q 7 O 8 U s S Y f s L B I l T T Y 5 5 9 j d v a u 3 x 0 L S a L Q d S R + V b V q t R u z 2 3 V X L k 7 N P 9 / G O o F r q d 1 V R c s w / / f D a / P + 7 M H 4 6 h I Y 8 C k Z C h Q 3 N 2 p K d O o 9 9 v S c s G U K / P u h P 7 1 N X G j A S Z x u C b d I 8 e g 4 y m U 3 f 2 A q p U N p x 0 y H d 3 u Z 9 H F z L k / R M E Z 6 v + h Z n B 2 3 X u E g j b W Q b V t V 7 c b a x u N A 5 3 7 k / u M / D 3 h C O + j / / C y f b m h d H R k b t 6 o 2 3 n O O 7 u r q E 4 e u W V Q V Y V k 1 M 2 c b y q r s t 2 5 J t G v h g 5 z w e E h P j e d S 3 O J T c f p t 5 X S 8 p x y 4 J 8 D g T k Y Q z M W c Q l / Y r 5 s q S F E n f a X y t 2 L B L t w g B q Y h D V T 1 U s x o R q M 6 9 2 u 2 V F m 9 A z d + D X U W C T L 1 e R B e W N B c z S f U y 0 4 + G 8 8 O J k e f Q + O A 5 7 z 0 t K D 4 Q e 9 9 / a P E L 9 6 6 m c n v P / L 7 l g W v u D / j e d 2 c Q J J n 6 O v B A B s R L 0 n u M 7 Q e F A r C D f u R u Y v z c j S 4 h h g A i 3 o z d + d j i Z 2 t T A i 2 7 L a Q Q s 4 M H J n y M c v m s 5 b b z H v q U l + 2 6 u L D g S + h B C A R C b w k q L q 1 s 2 / x i k O e D m E P q D W n 4 V I Y + e e + D / e T D o r L f n g 8 t P + A n 6 A B 6 c m 8 s 3 f D A s Y f a a L R / A N O A o A i L z p 5 u t 6 E 8 0 s H 7 A O i n u t J / 1 E V H C E m r d n A 3 K 5 r j C c w C + r 5 u n T h h 2 m N W r p W 8 7 w i Q h Q + g F e 7 g H s b A n 6 W C F t L N x q Y J z P 7 5 8 3 0 c + H 1 / T A I h R 5 9 h P 9 0 X h E 8 / e f z i 0 v K S J B S L z d R Q V R J V 2 B B 2 h Q m W 5 h Z s Y m R M m q H F B o b 6 V V H Z U W x S J U Z J q M H E s a V l 9 B Y 1 a F X h 2 k R r 0 r 1 F 7 Y I g E P T A I B G 9 W S u L C V p j I o C 4 W W f X g F 2 a W r H F j Y K u L V t d a h V J Q o G I v O w 1 j u K d p 7 + J 5 K C T m O T b j 9 2 j g 9 k j y Q 1 D N Q h i Q l I 5 4 e r 9 3 k / A S N e 4 e o l O e 8 f w s z 9 h r z z w v u 8 p / l P w + w + 4 6 v 1 l 7 3 n 7 1 9 9 n J r 5 T P / 3 z p S n q Z 5 e I 0 v 6 4 h r k O Y n K b U O e 5 3 + G P r v f / S 7 h A a E L 4 s n k 3 p a G S l k 6 n r F u M U 1 A / D / T 0 S m B l P Y K a O Z b + 3 j 7 1 V 9 w 3 f 6 j r O e 3 p X n c S k W 9 j M 1 8 V D G L x k 0 h K D 2 d / J m c W 1 w L 6 V H V h M N 5 L c a J T 2 W c o P v 3 Y + w 7 8 Z h g B q W g X y B U 0 w c O Z W H 7 4 3 D l b n G d n Q 4 3 F 3 j P u F / 3 p Z / b 6 i L G k A s Q j s h e z a y z G T H X j j f T l v h Y P 7 C H s Q Q Q q k R V R a V 9 s J 6 5 t S m N 3 W T I d s d 6 B b p k e S d t Y J 2 G L b B S I T n Q R P J E K Y L t T j + C + o J 1 B P Y N v w R h Q + I k x c u c G f 6 g + x G 6 G P / u J J y 8 u r S 1 a t B W D u M U D B L d y W c 8 a y r J g s b S l W 9 u E Q 5 N i j n 7 X S q s r q z Y 6 S q 4 D K c V Y 3 B d p 0 Q C k 3 K 7 G g o 0 E W J 6 R E l P h j s Q z C D n D f P F o 3 S K C h q 9 f k 8 T M F P U M w T i n K A a R H g u k 5 P t t F P 0 t h s Y L Q 0 4 E t m p h s z G u Z V 0 S A 8 l d J M t 0 T O s l e N Z e V z m R e n d w b u / Z 7 3 v F X r l P I H u H 4 3 W P I + Q N X h N / 9 I f e / G D Z f 4 f / / w M F K S z i D k m z 1 g R l 4 R e Y a 5 / h G C j a B M T D i 4 V g 8 u U L e j H a 2 e G t 7 A D c w y w i 7 O p M C R o V h G 1 q Q g F 5 b 0 N n b 5 f u a 7 H M T p u 9 2 v L T N l 0 / Y + v x J 2 y u 8 Z C N N d 8 R k R Y s V 6 p b Z g t C F X t r L F 0 A q S 7 c 5 0 t j q i w s V D 9 T P 3 o P C Q w R q n 7 j 4 + N 2 7 u x Z D x b + O 3 / 3 7 9 r g w I A t i F l O n j h h j z z 2 m D 3 1 1 F P u p v / p r 3 z F 1 t b W 7 C s / 9 3 O e R n p a 1 w e t / E D R O 7 y v 9 v q A N q i X n E n c 8 y n 7 0 h d 6 Y h b o N 3 f i I P x F N 5 C P p x H Y i y x x f Q L j 6 T z V 7 e q M W y x R t U 4 J l U w m Z 4 X t m u h 1 j y G l s b C b n N 7 8 4 O 2 M d P D n 3 g n / f 8 B Q / B 8 a Y r y 4 E r r E y y f t G 5 N A S c Z T 1 p u S l G t r 9 1 g p g k D 1 6 9 6 e q 2 W P F 0 P t j o + P u R Z i j o o d 7 3 b V + b m d g o W l c t j 3 V q 0 L 1 H e j Y o v S a u S c o 8 J 4 m I 6 d O O W x g N 2 C G p F Y m x V q I d k A i + o k S Q f h 2 o a M 7 P 0 C U U F A I T E n B z m j / d B 5 9 0 4 1 N a h R E r k A C Q K v G I s O a R R b k 1 L X A N f S O U F n U O 5 D q Q f O f V g J 3 h 8 c + 3 9 T a J t T A r 9 R L z / 7 / s K E o B 8 Y 0 H v f k d T 7 x z 6 8 c f y u T x w F s l p V d 4 g 2 7 H N F k E O r h F Y D D c M z f e D U N r a L 0 e B z X 1 N M F W 3 q d / V T p Q w E T F s i 0 W W I r U Y 8 Y W M T h 6 x f G i E Z b 7 P t g i A x Y 6 M D C U z 7 w x q v + e W M t J j a I a Z G S P k 2 Q R q H x y 4 8 Z n / 7 7 / 0 9 6 + j q t K c + 8 h E b H h u 1 M S L o z 5 z x P v 4 5 M c a v / f q v 2 w s v v C D k s e U C j U T 8 o 2 N j 9 l t / / a / b 0 8 8 + a 4 + d P y 9 y C N v Q 8 L C n i + v p J T e 7 m D u T U Z 0 h y h 9 e X L D t H d A D f e Z D o b / 3 f 9 8 f p 4 D B 6 D m 0 G n B V f e b t 5 X 7 Z T F 0 p X 9 p e b w g m S 3 E 8 c v a w 0 M C u h J A E B v 9 4 r p d A N z 0 4 K / b + w l n u Y G Q C J 5 H P E 9 J 3 8 S A n Y v i 5 Z x + + O D 5 x w I h O S K g S 2 y L K j W z G + t Q J R C g P y q B F I v W k u 1 y i o o J J D X z j 5 k 0 n 3 k 1 p s / J 2 w a K C g Z u C H B U Z g A V p t k x m 3 Z 0 X u N z Z F o X V l k l h / J C O / + H f / q l t Z t V A M t W Y I J o I 0 C W N 9 1 j Q W Q 9 + U v j q N l F A e 6 q S p G g 0 S J Y J s Q S e v U B y e b B i I G R 0 H g o M O v 1 7 h 1 J / f / D U h 5 S g A / d 7 f W 8 Q p V a 4 9 c H b A w Y I j u C 6 Q J p + s O g X n d e g a + i Q j F S R 6 + g D Q m 3 2 N R M N x W X u 2 m v v X u 5 D o / F U B A o E Q J s H h 9 o F x y E y t r k k X 4 R s 3 J a o L W 8 n b a v 1 / Q k u Q / P f k D A s u S 1 R k i 1 L + w j R w l M 6 c e i w H R B D E j X / 9 D P P u A D 9 A o l K v v M d n / h 8 9 r n n / B n f / v a 3 7 e 7 d u y L S h p 0 V s 0 1 N T f k 6 N 3 Z y f + m l l + z y u + 8 6 h D 0 g Z v z 9 r 3 7 V 3 n j z T V 9 T h + Z l Q v l 7 C g 3 a G 3 / K v v e W 6 A 4 0 E G u g s D H 3 I V 8 w n t y i / 7 u 2 1 0 H o l v r M P X V + D b A 6 b L 2 9 K Q m M p r X h g d b 9 / f 2 D d u / e g q 5 o 1 a F R 0 H W M Q 4 C K X O f o H / R E D f x / / v / g g G l 5 u q 5 h L i G C 4 0 P 3 M C 5 6 V / h T n 3 r y Y i L d 6 V B v t 1 S y v o 4 O / R g O E v Q L j 7 K R L x i R Q E I 2 Q V t Z X T X 2 k p p U B 6 K p y N D Z L m Y a H h 6 z u z o X o X F R v V S q G h u L b K Q V P b u m 5 8 X T w v H h t P 3 e N 9 9 W v S M B X k W b 1 O N q D F r l e w s d 5 n B N n 6 6 R d A 7 C I 3 A R h w T E G W + l Y 9 R c X c N v N B z m 4 X C C h r v 4 5 O Y H C + e 4 + I c V R v T + z c E n 8 y P U K y g B q 7 q n 8 o E S M B P E w z 3 v H d Q M j x K D D T 3 Q L p g k Y C g w v Q x e / R B o F R j u g T 4 A 7 v l T g / P c y 2 7 s x 4 + O W L V R t G w m q 7 4 J t m N t y N 7 K 7 1 Q s k z i r O 9 4 r I / X r V t h t s Y 6 e Q d / G k + s h I J g 5 2 Z 6 2 Y d n M 1 6 5 e d W H I U n A W T H 7 z T / 7 E m Q d G Y V k K a 4 m Y 2 2 r o e O 3 1 1 2 1 2 c t L m x D A r y z I V y D c v 1 A D U u / z O O x 5 W R v Q H 0 y A e 8 / Z h 5 c E u V n H H h d r K 5 g d x M j v R N 0 w r 6 N O d N T 5 2 6 k n 6 S c I D m i M T E s W Z T Y I d + U t 8 Z C L e 4 t E + b O 5 H G B a J g Z a X 2 J h P j B B m H k r / X B r S x 3 q O 6 N 8 9 e n v E E f y f T / 2 G l 5 U T G r + W l p o 7 U 6 T j n U d g 6 P D n P v v 0 x c u 3 7 t i h w 4 f t h i Q M m W C p S Z s g I L F K J K D v H + j 3 W X Y M f t y x e P z 6 + v r c I 8 j y g I Q 0 R a K N T a 3 L 1 i Y i Y E + j Z C t 7 k 4 Z s a X 5 O A 7 X r U d L 5 S s j + + 3 / 9 R 0 Z O d I f s / B O M k X i k V t 9 T A o I M P i E o D y f y x l B F S X E 9 n w b h T v f I C Q 2 A 5 6 I Q k f n A 7 d 3 v D K W b w N k B Z g J q 8 f b 9 o u v 2 L v 2 w 4 s x 6 / + q 9 T 7 3 f N S a H n 9 P z q N / e 9 / c O Z v S 5 J j g A F P c f p 3 o 5 M a i e + 0 6 I Q O u o a F C J p a Q 9 / r v a E / R H I C i 4 n e u c 0 f x y p h Z K 0 i J V z 1 O + t r l i C 5 t r G s 8 W q z V j 1 h P O W N r W L d V c t 6 2 l m 3 Z r Z t W W 1 7 Z 0 f 6 v u b z r k I 3 / h + n r G 3 n r j T Y f q 1 8 U 4 I J L X x T B O 0 P r u r d J 3 x t r H B d i j T y a G + X F / T R M f 2 D v U G + T r b f X 6 v 7 9 w j o P n B v 8 L C u 3 a H 3 O S B f k c D 7 / z j D 2 G 4 k + e T U Q F y I d 3 7 v d Q M B b B c 1 i a U i E B J n N w K Z k r e E G 3 8 B o S d K 1 + l d x C w P F F L f L n I + D 2 y / 5 X R 1 K 8 V e P i n m f q z h 1 o R N 3 m A u / 0 i e G L 9 Z a Y b 4 T s Q 6 l O G + j r 8 T X 0 B M C G 1 C k w F n 5 9 t F O / G G l x f s F j / u 7 c v O 0 M h w e J 7 E L 9 P Z 2 q W M T i 7 Z 1 2 8 v A h 2 1 h f t Z G R I e t I t e v 6 E V v f C d u f v z N n E m 2 u w t k 0 m F 6 g j / Z r / c F O 3 + 9 w C s Q W 9 L q 6 D B s F i c K N P E P a N J B W a i y D p 4 N C h 3 r n a 2 D x D q I F 6 D B K 8 N j g 2 U H X 7 J / 7 Q P H O 5 p N D / 6 M D / Q 8 0 i L / e C x 3 r 7 9 N 3 6 s J p X y C 3 V x 8 I j / u D J S D B o / g W D D 7 2 o W C J t D 4 p h v m R 0 z B V z Z m N p w a t 9 9 H T 3 2 g W j 2 5 Q P T w k b L x L 1 + 7 o P U 3 r 7 G i 3 A 8 P j e l f T D r V t W X 9 9 3 h L Z a 1 Y v 3 L P b M z L M a 6 q H I F k 0 x G 7 9 e i 5 a R O 9 F 2 t K v M D g 5 J M j y S x y d u 9 U 1 Z t S R w 8 f F K 7 Q n m K g f 7 d G B B H / w 2 C / 7 b a D s E / z + Z 9 B p w d f 9 w p i x c o B r 0 M z A Q J 6 B s w N G h 7 g R S L 5 S V v 3 g 9 1 C f v c N t V V 1 P q N F u q W r l 3 b x 1 d r H N E s s 5 W L 5 R s t H h E W n S p Q B V S U 3 R K h / B B + o N F E T 7 x Y R K g N + 0 n z 7 m G h x l L q h V m 1 h U 7 3 z 6 i d M X B 4 d G b H E 1 Y 4 M y R J n 4 S k r N s i M d O c + Z p G X V J + q f B P X F f N H I u s l A s Y F X v 2 w t 1 k 4 x o U h q N L w y Y x P H 1 I C C l Q u b b i c N S 8 M 1 Y q 3 2 L / 7 X b 9 l a T s a 0 7 q 1 L 9 a K + q R d l P w D U B 0 r H g 9 9 R / 1 z m x M V 8 l d 8 D w 6 g T d E T 0 b L W M k 8 E g 6 h 9 C 4 M F n U Z B c / O 2 E T e E 5 e 9 / v X / f e 5 T + 4 7 N W b F w I R G A b H 4 Z z i I U 7 0 O i c K w 6 k Q H N R Z 5 x z K A f e C e z H g g y 0 m o 4 J t 6 k Q 1 0 G E 2 a p x a 6 x x M C Z H o L 9 W f 5 + p N 0 n x o a X f Y Y H C n 4 n p e T c K N / Z B a b X l 5 1 f u h N Z 5 w K d 9 M x G 1 2 s y L B i H Y 1 E Y i k d i x u D z 8 0 I V s p Z z v b O 5 L e e i f L N / Y H 5 s F C m / j Y 7 y s V 7 + / 9 Y + / c / 9 b i z + O R + w + g n W L g p v r B 2 V V 1 Y W 4 R + M f m c F t k K d q 7 x + l G f U M E + j 4 j U f i Z P m P K g U S d e q D a u G m d P e 3 W w 2 Z s h S 3 r E 3 P h C M J e Z T P r K k 4 a 2 E n t 1 M j 4 K g u X v X p m B C 0 J j N z v F 4 Z X / + P 5 e g 0 W j v V 0 6 r 5 / 8 g / / V n N 4 b N j + 1 b / 7 m j 1 x 9 q T l t z e t X R y M l 3 Y p V 7 J i L u u T c c y 0 k / k n H k 3 Z w 4 8 + y 1 i 6 K 5 f 2 s C U o i V Z w Y k D 8 7 H 0 a Y E o 1 U F x P g v d q p N 1 e f / e G 4 I e I f V e M t M c k 9 4 u e 4 2 X / J H / r u 4 + d / g c B U f n 9 D q P w z b W R f q f h / o i 9 6 + k E i n / w P 5 2 D G H 2 A 9 q 9 V + S / / T / / E 2 P X + f u H e / R 9 / U P G e D s o + g U F U H y w f R p f 3 m V + H 1 x / Y J 3 z Q 1 M A 2 Z F x D t 2 z / A 6 p A C z n s E 9 M 5 Q + l H 9 u t F u 6 C x w x o D n l F v 7 t i x U x 2 W T B R t Z z N n p a 2 K x v M R D x X b K V a s r b P b N 6 m b W d 2 x e 9 N Z Y 3 P y c I i w p Y Q 9 8 f i w L S 6 s C n n k b F l H K J S U r P u Q d W Q I A p X 3 M Z S O 7 9 d d f l 4 X O O T 7 P s W f h Z Z p i p j V P l / r R t 8 i W L C L Q C X q L / 6 1 J d k P O n C e k K m V s W Q t U g v z k + o f X / u k x / H M f W T i 7 2 D z C Q m P S L Q s Z R C y h 0 4 c l u 2 X t e Y u g Q v d 1 t b R Z e v Z H b t 8 7 Y 5 V a z H 1 Z a v F N R b + L G m e c L N m v / p L P 2 / / 5 n d + x 3 I 7 E l g 6 D 9 I h e g g 6 D 0 f I w F W 3 R x 8 a t J Y 3 X / l W 8 9 L V N + 3 1 d 9 6 2 U U E 2 s h 2 R n X S 4 t 8 s 2 C j v C 4 5 s + k T s w N O y u 1 J H h g / a x T / 2 0 S 3 k q z F w U K 3 y D y g e V Y O A D A 1 0 d w 6 f + r q q j K l U k I 1 I 2 u O Y / S v H 3 q j w 4 s n v f v U 4 M 0 g P n v N w / Y f b E R z 9 v 8 4 v L / t 0 L 9 + x f 9 4 P K X 5 C h 3 n e d / 0 9 9 J A K i i G T 8 H N A q 3 B J 1 h m q K o b A P + Q V 3 N p / A L 8 p 9 A t E / 7 v W 9 d I E 7 0 m y N l l 3 r H S z b 0 S N d t j q 3 b P F 6 q 3 3 i / H k Z 3 x n L 5 C u W F 3 9 M L i w b G 3 s 3 W h I i u L j P z 6 S S F U H 8 q h U L F a u U Y z Y 1 m b H d n Z i E Y v D O 9 5 U P M J T / X 8 0 L / l J 5 4 P v 9 v q D / a b N / 1 6 E v 3 M / X + 6 k P 6 A 9 J n v c x F P S B 4 E H 0 6 4 P V y w R m k y m r I A F Y k 5 D x Z + n 3 k I Q K z 9 s v P D / Q T k F 9 i S 5 p N I N 8 f u l U z I Z 6 E n Z k v M P C j b J l c 7 v W m k x b T T T f 0 D t e f 2 N G j N Z q r Y m I / c a v / 4 q 9 I / v x 7 o 1 r 9 r f + 5 t + w f / L f / n e 2 G 2 6 1 l c y m 3 o H j S O h I n / F o 1 R 4 9 0 + + r 0 E O 5 7 W 3 B u X 7 7 3 G c / b y t r y 9 b V 1 W P p n g H f K Z B 9 g j o F 7 9 g + p L M D 9 7 c 0 F v N U T q Q 4 F u o a T A Y 0 k J 5 e + T 1 1 6 X / R c Z z X J 3 N I 7 z X 6 w e b / R Y s P y Q f K 3 j k e 9 + D P D 3 z 3 N 3 3 w 9 / s n I G 4 + G d j A Y e A 1 9 7 b 4 n f 9 R i z + V v t s 7 9 s 8 F 7 w s K G k g U 4 E T h X j 8 R z r 4 t s F + 4 G o L B r n G v n w g Q H b e Z Y Q f + u G y M t L W 2 x 4 U G p J l k S 4 U S S b t x d 9 Y 2 c l V J d u i V h J P s N 7 s p w s x a r 8 Y f W M h G 0 I e P j F k 9 F G w e 8 e A 7 P 6 x Q b e q C T Y F Q Q C C w m t z T + + l W P / a 1 s X 8 P z s F I b s u q u I b W 8 W A f e O H d n A L 2 q n 3 Y T 3 g u S c K K M + z + N S r 0 5 X t 1 5 V P j C h 3 q X N C P O E z C I v w u q 5 Z i l t 0 s y 1 5 s G h u n 9 / r 0 k D Q k G Z V 0 7 i N P P G m / 9 R u / b D / 1 4 1 + w P / / D r 9 n h 8 S H / P d m e t F N n z t i O 7 H 7 P c s w 7 g f B 6 / o n R p F U F m X l X 6 P V 3 X r T 2 V M q O H j 5 m 6 a 5 2 O 3 r s o B h r X f Y T + z s 1 7 c i h I z 5 H R Q X P n n t M n 6 3 e g a R x 8 k S C e / g + K O o B b w R f Z T I G f 3 r x x X 9 7 n b b 3 8 R + h 6 E E 8 y 9 + 3 d z x Y 9 v 5 + H 2 H 4 9 e / 9 v d / p X r x i O l R 3 r y v e R 7 S v P v e P / Q l n / f C B Y + / e / x h F 9 c F u 8 g E S w 7 h 3 7 X 6 n B X X l b / r U d 4 K s 7 m g s N F 6 V l F 2 / u i J b I y X m W b X c 7 r a 1 y k 7 Y L p P r X E R D l h 5 J b a Y o y C s R b 4 1 Y q 5 R c K t l p 4 x M H L c 8 + V K m o d X f K X m l h Y z W 9 T e O M e z + I 3 g 7 K v k C 4 / 0 9 V 2 j / 3 4 O 8 U 2 u C M F f w R H H t t 4 D u 0 4 9 f 6 + a D w z R E Q 5 9 F W O v D M Q X d E 2 + S z W R c k w c X 7 z / A / 9 k 6 9 9 y y K X 9 s S s V 1 B N w J m c Z C h g N l U v V 0 2 1 J F D J + x v / / Z / b r W d X f u N X / 5 F S 0 S b 9 u 6 b r 9 n f / h u / 7 T u / f / n n f t H + 9 n / + / 6 3 t y o P r r K 7 7 7 2 1 6 q 7 Y n y Z I s W 5 Z l W 5 Y X H G x s I I Q k J U C Y N q S k D W S Z T D q T T m e a p k m a N p C l z R 9 M Q r N 1 m K Y d o C T Q Z G i A J C S B Q M D Z A L N v 3 m K M 8 W 5 5 k 7 G t 5 U n v a X m b n v r 7 n e / 7 n p 8 2 2 1 B 6 p P v u 9 9 1 9 O e f c c + 5 3 l 5 v x u 0 3 P Y Z h S m z 7 m S m r Q Z X + + 0 j g H m z D L o J U t p I V U 5 g Q 2 P f M Y X n z x B Q a S O E b H y Q K G 0 m m b f N B S F 8 1 s a N W 5 F G x d P h W h C B g m R 5 M i q A + P m h r 1 K i X x T x U 3 r u X a u h r U G p 5 / b s 3 f F D g N d J Z 4 n t f U d i Q 4 H p a v B 5 V h 3 O f K D i g T v c t B z w c c B G J 4 x R G x V R p x a M 8 o G 9 p l J H K J R h z a W s f y p j / 1 q V g 0 I V Z u Y d V m 5 T I q C L m t v p d w W K B / l a t D S f S m U y m G f Q d 1 1 n w 7 R X Y / / r j r G H b t P W J 6 q 0 7 k r d L M Y C l A 3 c t H I m r D 6 s X L j S B 1 X E F r U w M S J L J l H Q u Y f x g r l y 3 F + n V r s K C p F h d d 0 G 3 Z W 3 l m A a c N v D o 4 o G c x X J X c S i 8 / 8 3 f C u D U q g 1 d H + y U R W V p m + E 5 b e e s z j T 4 M 2 7 p H t 2 0 8 k b g S v L R K W o 1 j z F 2 r I r R t q E C C C V J U C + D d l 7 3 H J m L e O H 4 a k S D F P I r O v 9 + 4 E U 8 + 8 T g W L e 7 E K 9 t 3 Y u M f N u H O / 7 k P g 9 R D d c q X 8 D n i j 4 J a G U I c y Z M J H Q + t w 4 T U 3 1 J 1 O J Q O D p / E 8 y 8 + j t r q O q T 6 T x I P c k g m a 9 D U 0 o T j v S e w q H 0 R G z 2 L p 5 9 + F o 3 z 5 t k 2 D s 2 K P P 7 E k 3 Y N j v O h z R l i B Z 5 + p c p q J Y P z Z V x + F P 3 I a e 6 6 6 w c W 7 n x A 6 V R 2 0 k y w 1 j 7 z W A G K 5 p R o D p C / y q l / 2 i a 6 0 t l x c 0 Y H S + T t A q Z p a c 8 G F c 5 C H F 0 4 r Z k t 6 Q r 6 F F A G G y m E Q B w 5 J f e X 9 C 1 F x d S z b D 9 H q x B 6 e o b x z H N H s X f P I G 7 8 7 E 1 o q 2 / C j + + 4 H d d d + W 5 8 7 I N / h h D 7 L E y 0 W N G 1 E v m R A m 7 5 l 1 s w k S n i q 1 / 4 K j Z c e C k 6 W l v w w z t v w 9 E D e / H F f / h 7 f P d b t x C F y O 3 f Q n v Y Q Z B i D q 5 x G t m x v L 6 t n O V V / f V W N q y Y 3 D z C E b N T P B F V O B K x z y H 6 Q q S r a 4 I h E p B f + / K k m v l s q l v 7 8 X R g W l t D A z p a W v G 1 L 3 0 F O R L S s q X d Z C Q Z r H v H e s Q p S r Y Q 3 4 P U x / b 3 H M O L r 2 z H n X f / G A d 6 T 2 O c o 3 t J J x B R v 1 U j 6 w r c S L i A + m g R 7 c 3 O D g x d D S S d 1 n / w 4 E l c f M m 7 U F M X x / 7 D h 9 B 3 u h 8 L 2 x e g f W E z h 9 Y U 4 v o g m x 5 j N T j s s w P H s 6 M 2 N a 5 K 6 f B L N c e u 1 3 f j i z f e h K 1 b t + K p p 5 7 G 1 m 3 b 8 N J L L + E m F v y V V z b j u 9 / + D j Y + 9 p g 1 h r 6 8 7 9 m 9 x 5 7 P B W r c 2 Y n J a f w 5 w X q K h s F m i 2 3 g 9 p a l z 3 / l Z d y 0 A u F t l J K p A I V 3 4 l S k P P 2 d o H Q q 0 x I I K W Q U f 7 q f Q E i l a V k t P T I E 0 / 8 s 4 Y y o 7 M O i a 7 u g m b L S B O s x o W 9 T C e p Q c Q 1 y a G 1 u R D R U J D c N Y D w z j B V L O 4 0 m B / p S K O U D q E 2 0 4 u S R Q V x x 2 V X k 1 q d w 2 b s u R + v C R j z w 4 A P 4 y x u u x + 5 9 P f j m t 2 + 1 W c W p r X F + Y H o T q d E z s 4 F a T + 3 v 6 I Q k I L 4 T 4 + x P n N 8 Y t t z o r z Y s T B Q o 2 v o Q S / h w 1 Z U X 4 Z I L 2 t F c 7 0 M L E X x l 9 0 K s 6 p q P Z L U P 1 1 3 7 P r Q l 6 / B P n / k 7 r F 6 6 B F e / 5 z 0 k a q C p o Z X 5 + O z I s K X L O v C f / 3 U r s q U c f v H I R o p 1 e Q y k s x h n W + Z Z Y d 0 J b X 1 O U Z l Z s w x j 6 F y Y Q N f i R s T C K r l z x L V W j g S y v q q b 1 6 + 9 A J 3 t S x i p h P p E n c m a u k Z S O 2 t r a 6 M 4 d a r P D r J s m T / f v n s s W t R l 5 / W 9 / M r L 2 L B h A w b 6 B 7 B l y 1 Z E Y z F b 4 3 f s e C + 2 / 3 E H 1 l + 8 A c 8 + + 7 x d 2 P b Z z 3 2 O G c N u + X j y y S d w 9 d V X 2 / t b h + m I V v H u P b q 2 d c o c c P e 9 P 4 E m Z q z r 1 F o E 0 1 / 0 7 C L z r L F d g i k j / C y I b 3 4 V 7 k I E I c s U U B p G P L Q p j v H F i a d + o i H 5 w o 6 V d s v m g N J U 3 h I V a e v d y 4 Z 9 a O e + C 0 p Z m n F c R L H t + Z c 2 4 8 D h E 0 i R M 7 + 2 7 w C O n u y n e B d C Q 3 U Q q b E + b N n 6 L P b t f R X b X 9 u C Z 1 9 + 2 n Z e 3 / u j + 7 B j 9 w F s f / V 1 H O w 5 a s R k K w W s b L L p 4 j I T p 0 R 8 r q j v X G A h L I I r / u p d N e G z b S e n b C X y s X r R 0 / K 0 z w n O S K 1 Z w 2 C I I / E k R w W O R P O a a o j Y f o q x k 2 h u r k F t l C M T R y t d i P D l L 9 6 I f T t f x / U f u h Y 7 t m 3 F 5 4 i H 4 T B H o Y P 7 c M V V f 2 I X B P 7 8 o f s R j E 2 g 5 8 Q p H O k d p b q l j + v O q C i x 3 V s V I e Y l H t b V U Y e a o C S I S c R Z D k 2 z 6 7 L v 9 S v X w l / M + b C T M n Z m J I f 2 B V 3 o 6 l 7 L w V G b s U p 2 h o S + K T W 3 N p B J 5 H H 0 2 F G n 0 k x b X 9 C P H j 2 K W 2 + 9 F f / + v e 9 h 9 a p V d P e j v j 5 p 2 y s W L 1 5 s C u Q N N 9 x g Q / K b B 2 v 2 s 4 C 6 Y V o Y v c o Y N z E X J 9 h c o G D W q U 5 g I b t t Y J P o x z S M K x E q b Y + A 7 D s b 7 S p y b d l m 5 C Z / E Y 3 i K D z d T U q T v 5 B H C O O m R w e z 7 C R c c m H j z H J j m + v G E k V W f v Y t p g z 0 t 3 M T K o 1 G c m X H 8 i O P b D Z j Y k k + M 4 J R M s K v f f 0 7 O D l Y w G + f 3 I I X q B d s 2 b m H 6 Y b s C k t f Y A J B i i 8 6 C l k r X W w W b V 6 T n a G u R a b F i Q D y U g + Y r + 0 p s 7 q J t N w 6 u F D Z X u c C L 6 z q J o b h O P J f i r 7 2 M U n p Z 9 2 1 e l s z g w z I H y 9 f g V Q H M h n W v c A h Z D C V x v D 4 E O s 9 T F F 2 F K H C C N J 9 v Y h R S u s 5 u B c 3 f v 5 v c e j g 6 6 x P C f f c f x + + 8 J V / x p M v b 8 G n P / 9 Z 3 P 6 D 2 z g S p Z A a 7 U M q r Z N l O c r 7 h A P K S y K m + p B / K g L H T J a M h C o i 0 3 e 6 E j L p E e T H i l i + a A X W r L o U v s U r 1 k y u 3 b A Q F 6 1 c j c s v e y + K Y 3 k 8 t f k Z J j i B t p p q j I w N k + O V K A o O Y G A 4 i 8 s u f z + u / c B H o d X M 1 h T W M H p 2 l M P b b r s D H / 7 w 9 W h o a L Q v 2 z p w R B s M Z z T 1 W R t f p Z e / Z 5 8 P W I 0 d q I x W 4 T w D G O a d 1 / w 5 G c N x G w U 0 m 6 U Z N U 9 n 8 R B E R K I P 1 k Y Q d P N m m H S o p r W 0 E I P u R g w E L 4 w I R E h j s j / 9 v O 9 P O n l I Y A j l 5 q H z H E R 5 J X 2 o p V N N P E F 9 h c j S 3 2 + 6 F F N X D H a 2 8 l N 8 V 9 f Q u 5 D N z J k y a 3 K I J b B 3 5 a d w 9 u F T Y i W T 0 s l A 9 b E S r r 5 i F f 3 z V M h B P W A Y k b p q 7 H h 9 L w Z P T O K N 3 j R x O M o 8 l b f S d 9 I + K 7 i j y F m B 5 V C / e M v E N A L 5 K K 4 K 7 D u U 6 q A w H v D d r x 2 4 w b A G D K c O d C s h h 1 D Y h / p k A u 2 L G h A P T i D V e w T V 0 S j G x 4 u I J h p x / f U f x z v X r c c d P / o + t r 2 6 G y f 6 R h G M x G 1 0 6 1 q k s y h T a G m r s e n w 3 F g M R w 7 3 Y 3 C E 9 b V z + l U X t T H L Q i e 1 f Z S 0 c O k q 5 8 5 p 3 b 4 S m o z h y i u u p T 6 2 E k W + + x M 1 V a i t r s L B g z v x s 5 / d i 1 d J 0 U u 7 V i B X 9 K O z e z X y u R C p + 7 i t S d O 2 Y k 1 G G J K I U 7 k g z q g 2 E A f 7 1 F 9 / C k k q f 8 5 S e G c S w k P A M i j w H O A g i O c / d 7 i p 4 M V x j R d N z n O B G 8 a Q n o i u z t U M j n b / V i K 6 l 4 R H L K q L J g p s N N H o R H e F 9 e J 4 R C T w 7 D O I 7 4 D 3 X M 7 D e 7 d f J w 9 9 d x n s 6 7 N J H w + k i z i h h H y a S t e p U Q 6 n V F q e E Q h R v X x t U o D d p d v t n U k B Z 0 J j n G 5 p i j a n B k / j 4 I n j d u F A o V R L y S K O E 0 f 6 W H e y e B t e n f r 9 n 0 D l E s 6 I I k g Q U 6 S A i n J b m W n K 4 L p r c N I h K f a x W w 2 h 9 v d X k b F H O b K M U 5 w 9 R Y k q i Z r 6 N t g d 7 H Q X 4 9 i x Y w v u u P s 2 1 v E k M s U x 5 F i f w Z F h O 5 Q 1 M 5 a l T l c F 3 f c H 6 L S u K l T X R V h n f V h 3 P q 6 L m L z e E W O y V T 9 Z 3 Y B S s P N T 6 p M t a G x s I + M 7 j Q c f v A f + j s 4 m x K N J R G I B v G N l B w 7 v 3 4 X n n t 9 E 0 S d H c U 8 z X + x Q y o j j z D y Z r C d h i V u y k l a n C Z v B E z O J + I O 2 p k 5 X v M h T i C U l T f e Z C l H L U P E 4 G 3 g N e 7 7 g d H R l n O n v h N m S V D A a u y i a n e V x R p V b Y E y A 7 9 b x d D P E p F H 5 1 O k y N v L Q z Z D A Y j m r F z T 7 J D + l Z Y R H f 4 2 A g j I S O S 9 u + Q m 0 P B 0 h U Z 2 w 7 R F V 1 A H 0 n W k K Q 7 J y M 7 5 r x K d l K s F L X 6 5 6 t h x U L z 7 b R 0 4 y u c l 8 k e L V J B F u D 8 u q N d E B b N 5 6 C L 9 5 d D N 6 9 u p m 8 w j d v X Q t U + f x X C D M F 9 F M N y a u O e W y 1 t I j y z T b x M 8 M U L s b E b H t J Q 2 p T s Q 3 / i C v C 9 C g c / s m 8 P r e X h w / J a J J c K Q P k 7 E n M D h 8 A o O Z A U R r I 5 j f 3 g J d v q a 9 U W q + A / t 7 0 c 8 R a 7 A v i 4 H T 2 j y r E 6 I Y l 2 1 U 2 e Z G 3 u r / S Y p 8 p R x H o i p j w t r v 9 9 G P f g L 7 9 7 + K 3 / 7 u A e J K H o E b P n 7 N z b q a p S r C S l H u T p A j H n u D u h L T q 6 9 p Q E v z f H Q t 7 c Y B y q D h W B h 1 y W Y s X 3 Y B K 6 h K O f M w + g A 8 z p F L K y c k 5 u n G Q 2 + K U 6 B u t + 5 w 2 p N w n p 1 z X l C Z l p 7 L m V g j V L 5 O C S p 3 v t 9 1 z 0 8 w R N l Z n S N d x Q 4 A U d 3 4 r m U u + r 6 g o V 9 i n 0 c M U v p t v 4 4 I i e 4 i G O U l 4 l G 9 Z U R U T l i H E z v i j V s A i V B 0 s 0 5 S G Q l a s y e c 0 c i e p e 6 p M / T K 5 7 3 R X 8 F t C Y + F d w 1 H H O Z u N n 9 o K s F i G c L q i k + N U j J G f J P U E Y o s L 5 U j L e M 5 s r 8 f J y j e D Q 0 T G T V d z 1 T 1 n S s Q d F b w O y l P T 3 8 W U C H P B z h K W q p u e w j X j E m p b n R W n u W 0 X D f p l c I i W 4 z K 9 t f k m N p R w d Q G m s j Q c W N D o + O I 1 y V I G C X U 1 b h r S 0 k g u c K w D R L h q j h F a T 9 F t g B a m 9 q c + 6 A G d c l a C f P b F t l O 5 n B V g o x M j F D 6 K Y m Y E o H u 7 w 1 Q b 0 p E / T Q B 6 O J q f a K o j i W x 8 9 U X G M e H a j J A / y h 1 p D W r F 6 P E D t V 6 u 0 J + D N 1 L F 6 A q 6 s O W 7 c + T + l 5 n 5 F E M p A q 2 e U x T i E I Y V U 5 V E T H l x e 3 Y T + J o d n w y G 0 E r w + P x G B F L i p x C O m 0 j c K 2 3 C d y G N 6 h 8 J l S + T s / U f Z c i b C O M R h E P e e i n O k h c l S 0 j / U M X K M i I 4 V I 2 J B Z w t C Y 2 6 I P f B J F a W 8 v l J t u U e H a 4 e K + J k m w P 4 8 w E p z 3 4 7 C G N A f M W 8 d I 9 y o 6 R W C n f c C x q o 6 R z T h 5 j S Y 4 p T 0 a I i 8 q Q A P R n 6 c k W 8 u l P W c j W Z I X + n M k P U a 6 e z Z S 0 H p B 6 E u 1 S n v W Z 0 E H 6 T I 9 1 F o M 0 6 U K j i x m l e B b w O v g c o F C U O G 3 E 0 U h h 7 c + 4 K q s I g I W x c G W w f O l G w r D 9 S z T 2 I Z 1 N Y X H p p / P P C 2 q j c A Q n i K c l M p H M c A 6 j o / p m q p v f 0 5 Z U R L P U L f V o T d Y S X 7 N o b m p i n Y M Y H y l h 5 / Z D z J / P Y + x 3 a 1 e n r C V f k M I v y 8 W + l t 6 c p 8 i s u 4 w p m G P P r s 1 s r y z q 4 n U Y R Q 3 8 B X a 6 z p J o i F S j w M I 1 t b S Q E j l Y 5 U a Q y v T j 1 K k e H D 5 8 A P l C B n 2 k 5 A y J y z I i p 9 B B L C I m r y F V b S 2 q H B 0 b s 8 7 Q 7 k g h h 7 i t Z o 9 0 o Z s m M z T r 5 8 R 4 O 2 G O F C u d Z 8 M H f V N j G K G d N q o Z 1 9 R I w w 7 T F S V y E 3 q S k q j I O u 5 y E w I I h A R 6 N g 5 L 4 4 1 I M n b O g f z o Z q M X i U T d 7 0 h r D k t y k I U w U a B + M 4 E q h t P 1 n F W a D y b i j 5 B u d f Z G S I W k I i x y E n I r e 2 d 2 0 k E + W + E h d 7 3 o 2 U Y j v l k 5 l S G J i S O T P V s q s m X O g F c H m T I o f q U 5 G 3 i E Y G V x z V z A 9 l T x t A b w T H 6 z 5 y N 2 4 R A R G f e E L k Y T Y R H l 2 b 4 S A W v i U U p W M Y 6 o T I d M K R J J U M / x I Z c N U H J i F + u o B J Z N F 9 D F Q i U s n F e L z o 4 m p p s m j o 6 g f W G r 4 a g Y j 9 a r 5 r I q u 8 q X p V E f 6 l V E r 3 K G b I N s L K J z W G K o r o k g m m j D R C i K Q 3 1 5 + B e 3 d x g R a c / S C P W d k / 3 9 G E 7 p J C J x W B J 8 W L N U 4 y y k 2 m c c U R b O l h y R L R 8 6 e A j H j h 3 D s a N H b U p d y 0 I E a k Z x N m 0 C 0 5 I l 3 b M r p J K i r S 0 f G r l 0 t p + H l G 8 P z N F 5 5 q w G q v C v e L T F s e z U Y J j i j R q O J q h z B 1 k 2 b U O 3 y R d 2 v t 3 / Q z / J z g o j 2 4 Q Q 2 p 6 b 3 m W 8 d O y Z a X h T 5 R o F R V T q X L 1 X g r 0 x z 7 x 0 L Z Z H 7 a f F p n 4 d s k L O X A g R M 3 x 5 T A Q 0 s y h u 6 R k h s b v W j 8 Y 4 v P J y 2 9 Y U f H J U K 4 f C T A e G U 1 g Z l U v x p 4 T T s / c + / b k S 9 O 4 R h v L 2 T C W 4 8 b V g V u 1 j 4 f n s 5 U 9 P C y Z m U A k i J i 1 S k K i q 7 R t a + V D K 5 3 Q K K 4 K 0 i + M 5 t r F W R c Q o y i U Q r a o n X q Z w 4 P A A T g 9 k k K E Y W F u X t B s J 6 6 i f 7 t u z g w N Z g W 4 h R N j V 4 9 l B d C x p J s P M U l 2 J U q o i I w 1 o q R K Z o 0 Y q q 4 Y k D P U f R 8 M g 8 V c 7 h E l Y h w 4 N Y P + J f u w 7 L r U h D H 8 1 O e H p 1 A B y 7 E i d U d 6 X H k C Q 1 N O x c J G I 3 T a p J e I h 1 H K I 1 I y g l l m o o X Q d 5 n X / + g d 8 + D + 2 m r m e 5 v Y f P a C c y 2 B E x Q 6 S K D h C v U A H Z 2 Z z z i 0 K A i n w 0 5 r 8 b Q Z 1 j I x y c X P y X t 0 + 8 1 M 0 0 I S E 6 U Q S Q Y i f I g A T s + T v 2 h J z b c c w 6 6 5 6 2 c 0 V Q g S N P v S X i G R n B R J J 9 G z 6 j v w Y T 2 n Y t y b 5 y 0 + 2 C x 6 i 6 0 + F K h + N R U Q b Y 3 b B c A y l Y J h p h y h O h E h D E k V E M I p r O S s Z K 7 v J 3 b I 1 O j F N B 0 n p R w b o P J 0 d L L z K 7 c a b A a 4 / E 3 f e X d t C 6 5 n l N r v S v / K 9 A s p t w P S M k F X n a W G V r o x c i q R A 2 6 A p c b V A 1 Y K M u p D N 2 s T X a G Y c A 7 1 9 0 M 2 x + f E J 9 P c P m x i b p x 6 Y G c s T n 3 U 1 a h a 6 Y a Z Q y K G Z g w c 7 i q N a g k 0 2 j r q G G H W s M W Q n t F a 1 2 i k D y y V i U t 5 6 k q g s T J D I H W V / D K U p w U T r 0 D u q D + k J p H O a A S T R J Z P t C A c i y J K L 6 V C N h v o k O 7 O E 0 / 0 D D B j G J C k 2 m x k j Q V H W D G j z F Z N n 4 k K q Y K I B w e p 5 Z e P B b z Z u x M c + 8 h H 8 4 u c / d 1 2 A T Z s 2 m a 2 G y 5 M o b 7 / j d j v G 6 R u 3 f A N / 9 c l P 2 p 2 0 0 0 E H f f z y l 7 / A H Q z 7 8 M O / c l 1 n g o 4 c 3 r 5 9 u / t W C d b V B D X L m Y 5 y W 8 l 5 Z D 2 8 T h O I x 5 q I R g L Q e X A q r 0 c k q r O I R M 8 a p U l h p k N 6 k x M a g Z W e J 8 I o D Z 0 M V Z S o J 2 I k z I W s V i T l S 1 u b B o U o Y f 8 E 3 t 3 S i i Z R u V / i I t M 0 j i 5 l W / 3 A c p n N k Y z p W t p C B p X T I y o l z l 8 5 n x P c N F T P G e C m O y U h 9 9 1 m 6 h S X 5 Z 8 C K o + M o D I e Q f l U G r U Z n 8 6 I w 2 p X t w 4 O Y r P 2 m r 3 w w t K W n 3 Q a z V i S 4 y E 3 k r a t F m 0 L K I K R 2 R T o n 6 P X w F A a a R J T Z m T M G H x t k v p O m v o h B 4 y x z D B C x P + B l O 5 D C + L U a R K m F c I R n 7 V J l r 1 s a p B K Q a U F v Q O U u r R e 8 l T G p u o X t H b Y i K W L M g I 3 f O z 9 N / s m w x g e T S H N A m l J k S 1 D Z 4 I D / S S k u j h a 6 x q x t / c w R k m F i 9 q X 4 Y I V F 2 J o a B g P v P w G d E u h B 9 2 x A b z r 4 r V Y t m y Z X f C s A 1 0 k D r 7 w w v N 2 z J Q O R 3 z o o Q e N U P r 6 T u P C t W u x c u U q 2 z 4 i x H 3 k k Y f N 7 8 E H f 4 k N G y 5 G b 2 + v i Y Z D Q y l b + X 7 4 c I + d B b d 5 8 y t 4 7 N F H c d + 9 9 3 K k P G y r M g 4 c O I C u r i 6 3 J H O B 2 7 k e 8 P X u e + 7 H C E d O d Z Q Q Q 4 e B S F S V L q T O s t G F 7 m a z g 9 S Z K q t N Y i g J E Y / i K j F 1 P o 2 b t C P i M Q 2 v 8 8 2 d z w o v M d G A 7 k 5 Y / T K M T j 7 V M 7 3 n B Y r 4 z N X v x 5 p V q 7 D p t c 0 o E V l C W m m u k D Y z I l B 8 u o j o i A g m 5 s t W N t K p i J Q U W B l G h m W 2 U Y 1 + K o N s G q d k b w G U i Q d 6 d u t Y t u c A z W i q v h 5 h W C F E P B p h N T G j 6 i i g k r Q H B 6 z M N G p L s + m m 6 g Z 0 + h C R 3 k 8 d M 5 r Q h R S 6 m U S X D L D t S Y P z 5 l V T V x q l q C a 9 d N I W G m T G h t k 3 V G H i c R s s T r x x k n G q k c 2 S c b E A b f O b 7 K Q k f X 8 N l S h u q 1 / Y r p r 5 y 1 H + X D h / E d r b O r F 2 z R r s P r S f o m M E D d W 1 8 L e 2 J o 1 I L l p 1 M S a p 1 I 0 W K Z M y 4 k S + h M 4 F 8 + 3 A l l C i y l l J G 6 y h P K o V E U 6 n z I T Z G 1 J x p f R p 8 a w a o 6 e n x / U 5 A 9 o + I m I R 6 C w 4 g c L q e f H i T u z W L e t 8 3 7 Z t q x F r s i G J 9 R v W k 3 i 7 T B x 7 S 6 C O Y 8 e I g S h t b 0 Q y Y p I u I z + N L n o n o a s e G n V E 5 J W I K f A m I 8 x m G K 8 l 9 C 7 E k c 0 A N o r J K B + 5 l 4 F + M l o h r U v C / E S A D I n x 3 x 7 5 F b 5 1 1 w + p P l H k K 1 F i 0 J S z f Z h V J J X B z c m N X z Y e d 6 d x G A D r Q v v / B d w 2 K M P 0 d w 9 U L v p 5 h C G j k U T u N s q p n B V x G d r A C + u B J w k 4 b o q X Z / w s p Y U s s q M Z D O l e 3 N Q o G U r A Z m p 1 E n I 9 i U a n H t d Q p N M y u 6 B O e S W D G s 9 l M Z j q x + L 2 N k R j u j q p x B G n H v W 1 Y V T x O T C Z w 8 I O 3 b u l s j E 9 x v F T / F 7 e s R x t r f O x b e d 2 m 9 H W d p u a C E X y Q 4 e e m t z y 2 h 5 c u u 4 a H O 3 d j T v v v w M R I l Z n y 3 w M 9 a V s E 1 a Q y v B w b h I 7 D p 5 C + / w L c M t X v m T n S P z 0 0 W e I K I 4 o I 9 i w q g M r u 5 c 5 L 1 5 r l G G G g w u z N b 4 T V o 0 m U W 7 d u n X 2 P h f o d F I d e 9 X Z 2 e m 6 n A u U p / L w 4 d L 3 f Q D H y J 0 0 8 W B L T U g M Q j t 1 l o e Q I g Z D R h o R g c Q 3 4 i u R V B z f Q V i 5 O z e S O 5 0 v d 4 E 2 J e p Z b k r H V o 5 Q P C j H Y X 4 W x w i E N t N e 2 b 0 E 7 1 i + B N d d + 0 E 8 / M S T O H J g P 3 y Z A n p O n s D x k W G G c k / H Z T y B T m M t 6 2 g G K h z T 0 o Q J H 0 l / f B U i a J d 1 3 v K d l b j c 9 N 4 s V M a y M s y W j t z U D s x b N 7 e o b J o J t u 3 / J C q d u a c 6 2 B I 6 F 7 S O T z V S + w j O 1 M 8 B a z c q T j 7 k r T + c P R s h B I m z 2 j I f T c S Z h 8 4 O L K F 9 Y R W a 5 4 W Y q N o b 1 J l G k C a h J R J 1 i F c 3 Y n w 0 i / 6 R I l L 9 a U S q J t F J J n 6 o p 9 + 2 h 4 x n i R N F l p u 4 X l / X g B L 1 s W u u u Q K v b N / C 8 v k R j 9 e i K R n H J e v X I P D p f / z m z e n 0 M W z b s Q 2 1 N S 0 c r T q w a / d O m 4 K c o N z e 3 N D M A r N Q H P X 6 R w q k 4 i S u v P x y 4 9 b r V i / D h S u W 4 M K V M p 2 Y 1 9 j g 1 P R N w S y N 7 7 q p w V p b W + 3 5 b K A R o 7 w t u g y z p S u Q u 3 W T 2 f / 9 4 5 / Y T f X W m R a F B F L Q s 0 Y V 9 q g 6 j U Y I a M u S i B B e B 3 s E 5 f m T T Z 5 B V r q L k 0 5 Q c d Y I 5 4 U x 2 0 U M P R t n J i g d T U g w A d R Q D O n q X o 5 M 7 0 k s 6 V i E Y c r 5 l 1 9 2 K f Y d 3 Y / T m R H j v F M Q V 9 j k c v o y 6 F m j n f s n M C J U O C / e d J j L X S C v a c Z 7 n A J M Q + 0 y p S w C p W 3 p O z H U B g p h n y D Y B r a S R J I P 3 e 0 j u s o u W 3 G m p 0 W Q n 9 m s j 3 l r N 7 L E W o p k u p H T V 6 W L E W I Y G d Z R 3 0 W M Z g Z N v 2 p I U n U 4 f t C O a w t V a c Y 6 R O m p B m N Z q j c 1 C T T W 6 Z I L n W 4 U x 1 A q Q 2 I S Q 6 T Y 5 6 v C 0 s W L s K p r O f 2 K e G 3 v b j J e P 9 W V W u g a 0 e 7 l C 0 m E q + D 7 / s P b J v / 0 o i J + s + k Z u 8 L m v e u v o k 6 R w q 8 3 / h S Z 7 C D q q u f B X x h D I h j D S / u H K T s u w 9 e / f B M L 7 1 a y o r J T q j 2 j D W Y 4 T A O n g a b C 2 e N Y g 8 / S 2 A 4 o v e l + M 9 3 e e e W 1 O K 4 R y g U j k E m H a L T Z L E t R z 8 5 i q y i e i X U M J w I R A e l Z h D F J L h s g o 7 F 3 I S / 9 N N 2 r 7 3 H K t 4 w E 5 H Q e c R l B 0 d b V q n T h C K W P w z 5 y v S i K E m V y z N 8 X t q P c / J E E w 5 C r U / w w 4 h C o / i Q o c f n K t j A y d Q l K / s p L u W u 5 m K A y 7 A x Q O Z 2 i T o V p U W Y N 4 q X r 1 r U M c l c Z 9 G 1 O B G f P D g P x c W Q v Z n N O P c j I V F b d / m J F 9 + J W g N e O A j s 9 i 3 X X S C x j + / b D I Y R r E y T K C R T H p P f o W L x x L F i Q o G i m r T A 5 0 5 O j 8 W q O Q A n k m X 8 i H i H R R J B N j y O V 9 6 H 3 e J p h t J 2 p 0 X a o r 1 m 9 m o N L E i 9 v 2 Y L h 7 C i i 7 G f t C I h R j F y + t J 0 M 7 x I M F x c Y M 0 B P f w M 6 l 3 U y Y h V + / d R D q K + p R 3 f 7 O t T F 5 + P o q e M 4 P T y C 4 6 k 0 U k N p R m C B K 6 G i c t Y C b x n U G p X m X O A R 0 5 v J c 2 a 6 S k L I L d F L t h E D j Q h F B z y q g e T u E Z F A s 3 Y i B E + n M q I S Y d B f u p Y R i g z f 9 f H b C K s q b E Z X r Q j K S E H b Q X a 2 K 4 O W U H S 2 L J B z 6 p t K r u h D V m J K h P o T d G z w G U I y B H J H J 2 l t x v V d Y z N l z N t 2 u z I r l k a R y v 7 n B C f 4 V O O B 4 r v p T D d z g v x o f N Q B V S 6 1 i Z i U n b 9 X Z P 3 o T V J y E P I s Y G 2 l d F h n n e 3 B w c P a 0 P F 0 + l K E q r 1 8 L Y 1 J R I n T J R J G s R S g m q K j G I I I a f c t 3 6 u q O A r Z z Y 0 h F C k W h g q s A 5 M 5 e S p F h k g R s a E V K 1 a s x H q q H L o 2 a N N z z y A 1 l k Y 0 F E B 7 a 6 O t C V z Q 1 s w R M c 6 e q b N i s P w + 7 D u W x r L O D i x u a U R N U y N + e O / t t o v x m v d 8 C J / 4 i 7 / B y Y F + T J B b 9 w + e Z o e K s z r l P w O O g 9 N p L s w I 8 2 b h L J 1 j 4 P n P F e 5 s 8 V U 4 r 4 B s R J c Y j B D U I b S N w O g m o w 6 y S Q q C i E c g d 4 W x X P i s W y g C 4 T B C l L l t I o P h Z J S L R 4 w i R I v D Z w 8 M Q Z Q v E c S A f l 5 c L f M S e H m e D 0 x B b h F b h b F Z t P M B x T 2 b O R + Y H s d F G h G Q c M h W b Z T Y H j m q E x z Z N b M n Y q J V h s p n E Y 9 G Y d k 2 e 8 k 0 z V 8 / a k O F U T v x Y V J 6 q v q U h J q g H i U m x V b F M E e f 6 l g d q H J R T 4 r Z i p 6 a 6 r B t u 5 j I F t j H m s 2 L k J E G W Z Y g u r t W Y O m S T u z a 9 S p + / / h T G N X E l L + A 7 o 5 m 5 H I Z t M x L w j 9 R Q E t z C 5 l e N Y v h w / 8 C c T Z y Q d o N + K M A A A A A S U V O R K 5 C Y I I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 N a m e = " L a y e r   1 "   G u i d = " 8 e 6 6 9 5 d 1 - 4 5 a 0 - 4 c 6 0 - 8 f 9 3 - c d f 2 4 f 9 b 5 6 8 7 "   R e v = " 8 "   R e v G u i d = " 5 f 6 9 9 f e 0 - c 1 3 3 - 4 0 1 a - a 0 6 c - f 1 3 1 7 8 7 1 3 9 8 7 " 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 V i s u a l T y p e = " C o l u m n C h a r t "   N u l l s = " f a l s e "   Z e r o s = " t r u e "   N e g a t i v e s = " t r u e "   H e a t M a p B l e n d M o d e = " A d d "   V i s u a l S h a p e = " S q u a r e " 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 N a m e = " R o w   L a b e l s "   V i s i b l e = " t r u e "   D a t a T y p e = " S t r i n g "   M o d e l Q u e r y N a m e = " ' R a n g e ' [ R o w   L a b e l s ] " & g t ; & l t ; T a b l e   M o d e l N a m e = " R a n g e "   N a m e I n S o u r c e = " R a n g e "   V i s i b l e = " t r u e "   L a s t R e f r e s h = " 0 0 0 1 - 0 1 - 0 1 T 0 0 : 0 0 : 0 0 "   / & g t ; & l t ; / G e o C o l u m n & g t ; & l t ; / G e o C o l u m n s & g t ; & l t ; A d m i n D i s t r i c t   N a m e = " R o w   L a b e l s "   V i s i b l e = " t r u e "   D a t a T y p e = " S t r i n g "   M o d e l Q u e r y N a m e = " ' R a n g e ' [ R o w   L a b e l s ] " & g t ; & l t ; T a b l e   M o d e l N a m e = " R a n g e "   N a m e I n S o u r c e = " R a n g e "   V i s i b l e = " t r u e "   L a s t R e f r e s h = " 0 0 0 1 - 0 1 - 0 1 T 0 0 : 0 0 : 0 0 "   / & g t ; & l t ; / A d m i n D i s t r i c t & g t ; & l t ; / G e o E n t i t y & g t ; & l t ; M e a s u r e s & g t ; & l t ; M e a s u r e   N a m e = " T o t a l   T a x "   V i s i b l e = " t r u e "   D a t a T y p e = " D o u b l e "   M o d e l Q u e r y N a m e = " ' R a n g e ' [ T o t a l   T a x ] " & g t ; & l t ; T a b l e   M o d e l N a m e = " R a n g e "   N a m e I n S o u r c e = " R a n g e " 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S t a t e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2 . 8 0 3 2 7 8 6 8 8 5 2 4 5 8 7 7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2 . 7 2 1 3 1 1 4 7 5 4 0 9 8 3 2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& g t ; & l t ; D e c o r a t o r & g t ; & l t ; X & g t ; 3 5 & l t ; / X & g t ; & l t ; Y & g t ; 3 9 6 & l t ; / Y & g t ; & l t ; D i s t a n c e T o N e a r e s t C o r n e r X & g t ; 3 5 & l t ; / D i s t a n c e T o N e a r e s t C o r n e r X & g t ; & l t ; D i s t a n c e T o N e a r e s t C o r n e r Y & g t ; 3 5 & l t ; / D i s t a n c e T o N e a r e s t C o r n e r Y & g t ; & l t ; Z O r d e r & g t ; 0 & l t ; / Z O r d e r & g t ; & l t ; W i d t h & g t ; 2 0 4 & l t ; / W i d t h & g t ; & l t ; H e i g h t & g t ; 1 2 8 & l t ; / H e i g h t & g t ; & l t ; A c t u a l W i d t h & g t ; 2 0 4 & l t ; / A c t u a l W i d t h & g t ; & l t ; A c t u a l H e i g h t & g t ; 1 2 8 & l t ; / A c t u a l H e i g h t & g t ; & l t ; I s V i s i b l e & g t ; t r u e & l t ; / I s V i s i b l e & g t ; & l t ; S e t F o c u s O n L o a d V i e w & g t ; f a l s e & l t ; / S e t F o c u s O n L o a d V i e w & g t ; & l t ; L e g e n d   D i s p l a y L e g e n d T i t l e = " t r u e " & g t ; & l t ; B a c k g r o u n d C o l o r & g t ; & l t ; R & g t ; 1 & l t ; / R & g t ; & l t ; G & g t ; 1 & l t ; / G & g t ; & l t ; B & g t ; 1 & l t ; / B & g t ; & l t ; A & g t ; 0 . 9 0 1 9 6 0 8 & l t ; / A & g t ; & l t ; / B a c k g r o u n d C o l o r & g t ; & l t ; L a y e r F o r m a t & g t ; & l t ; F o r m a t T y p e & g t ; S t a t i c & l t ; / F o r m a t T y p e & g t ; & l t ; F o n t S i z e & g t ; 1 8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f a l s e & l t ; / I s A u t o m a t i c C o l o r & g t ; & l t ; A u t o m a t i c C o l o r & g t ; & l t ; A & g t ; 2 5 5 & l t ; / A & g t ; & l t ; R & g t ; 2 5 5 & l t ; / R & g t ; & l t ; G & g t ; 2 5 5 & l t ; / G & g t ; & l t ; B & g t ; 2 5 5 & l t ; / B & g t ; & l t ; S c A & g t ; 1 & l t ; / S c A & g t ; & l t ; S c R & g t ; 1 & l t ; / S c R & g t ; & l t ; S c G & g t ; 1 & l t ; / S c G & g t ; & l t ; S c B & g t ; 1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L a y e r F o r m a t & g t ; & l t ; C a t e g o r y F o r m a t & g t ; & l t ; F o r m a t T y p e & g t ; S t a t i c & l t ; / F o r m a t T y p e & g t ; & l t ; F o n t S i z e & g t ; 1 6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f a l s e & l t ; / I s A u t o m a t i c C o l o r & g t ; & l t ; A u t o m a t i c C o l o r & g t ; & l t ; A & g t ; 2 5 5 & l t ; / A & g t ; & l t ; R & g t ; 2 5 5 & l t ; / R & g t ; & l t ; G & g t ; 2 5 5 & l t ; / G & g t ; & l t ; B & g t ; 2 5 5 & l t ; / B & g t ; & l t ; S c A & g t ; 1 & l t ; / S c A & g t ; & l t ; S c R & g t ; 1 & l t ; / S c R & g t ; & l t ; S c G & g t ; 1 & l t ; / S c G & g t ; & l t ; S c B & g t ; 1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C a t e g o r y F o r m a t & g t ; & l t ; M i n M a x F o n t S i z e & g t ; 1 2 & l t ; / M i n M a x F o n t S i z e & g t ; & l t ; S w a t c h S i z e & g t ; 1 6 & l t ; / S w a t c h S i z e & g t ; & l t ; G r a d i e n t S w a t c h S i z e & g t ; 1 2 & l t ; / G r a d i e n t S w a t c h S i z e & g t ; & l t ; L a y e r I d & g t ; 8 e 6 6 9 5 d 1 - 4 5 a 0 - 4 c 6 0 - 8 f 9 3 - c d f 2 4 f 9 b 5 6 8 7 & l t ; / L a y e r I d & g t ; & l t ; R a w H e a t M a p M i n & g t ; 0 & l t ; / R a w H e a t M a p M i n & g t ; & l t ; R a w H e a t M a p M a x & g t ; 0 & l t ; / R a w H e a t M a p M a x & g t ; & l t ; M i n i m u m & g t ; 7 9 2 & l t ; / M i n i m u m & g t ; & l t ; M a x i m u m & g t ; 6 6 4 2 9 7 9 . 8 5 9 9 9 9 9 9 6 6 & l t ; / M a x i m u m & g t ; & l t ; / L e g e n d & g t ; & l t ; D o c k & g t ; B o t t o m L e f t & l t ; / D o c k & g t ; & l t ; / D e c o r a t o r & g t ; & l t ; / D e c o r a t o r s & g t ; & l t ; / S e r i a l i z e d L a y e r M a n a g e r & g t ; < / L a y e r s C o n t e n t > < / S c e n e > < / S c e n e s > < / T o u r > 
</file>

<file path=customXml/itemProps1.xml><?xml version="1.0" encoding="utf-8"?>
<ds:datastoreItem xmlns:ds="http://schemas.openxmlformats.org/officeDocument/2006/customXml" ds:itemID="{D3C13755-BDC1-46BD-885D-9E92210D386E}">
  <ds:schemaRefs>
    <ds:schemaRef ds:uri="http://www.w3.org/2001/XMLSchema"/>
    <ds:schemaRef ds:uri="http://microsoft.data.visualization.Client.Excel.LState/1.0"/>
  </ds:schemaRefs>
</ds:datastoreItem>
</file>

<file path=customXml/itemProps2.xml><?xml version="1.0" encoding="utf-8"?>
<ds:datastoreItem xmlns:ds="http://schemas.openxmlformats.org/officeDocument/2006/customXml" ds:itemID="{515317C5-C379-41FE-A352-91646EF5543D}">
  <ds:schemaRefs>
    <ds:schemaRef ds:uri="http://www.w3.org/2001/XMLSchema"/>
    <ds:schemaRef ds:uri="http://microsoft.data.visualization.Client.Excel.CustomMapList/1.0"/>
  </ds:schemaRefs>
</ds:datastoreItem>
</file>

<file path=customXml/itemProps3.xml><?xml version="1.0" encoding="utf-8"?>
<ds:datastoreItem xmlns:ds="http://schemas.openxmlformats.org/officeDocument/2006/customXml" ds:itemID="{CA446EE1-2AF0-4066-903D-63364A4770BC}">
  <ds:schemaRefs>
    <ds:schemaRef ds:uri="http://www.w3.org/2001/XMLSchema"/>
    <ds:schemaRef ds:uri="http://microsoft.data.visualization.Client.Excel/1.0"/>
  </ds:schemaRefs>
</ds:datastoreItem>
</file>

<file path=customXml/itemProps4.xml><?xml version="1.0" encoding="utf-8"?>
<ds:datastoreItem xmlns:ds="http://schemas.openxmlformats.org/officeDocument/2006/customXml" ds:itemID="{AF6B5C4D-2E7D-40A8-BCBD-AD707E8C73FB}">
  <ds:schemaRefs>
    <ds:schemaRef ds:uri="http://www.w3.org/2001/XMLSchema"/>
    <ds:schemaRef ds:uri="http://microsoft.data.visualization.engine.tours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Sheet1</vt:lpstr>
      <vt:lpstr>Basics</vt:lpstr>
      <vt:lpstr>Justify etc.</vt:lpstr>
      <vt:lpstr>Sub TOtal &amp; SparkLine</vt:lpstr>
      <vt:lpstr>Shortcuts</vt:lpstr>
      <vt:lpstr>Date Formats</vt:lpstr>
      <vt:lpstr>Google Maps</vt:lpstr>
      <vt:lpstr>Ref Jan</vt:lpstr>
      <vt:lpstr>Ref Feb</vt:lpstr>
      <vt:lpstr>FEB 2</vt:lpstr>
      <vt:lpstr>Ref Mar</vt:lpstr>
      <vt:lpstr>Total</vt:lpstr>
      <vt:lpstr>People Graph</vt:lpstr>
      <vt:lpstr>Screenshot</vt:lpstr>
      <vt:lpstr>Emoji</vt:lpstr>
      <vt:lpstr>DataBars ColorScales Icons</vt:lpstr>
      <vt:lpstr>CondFormFormulas</vt:lpstr>
      <vt:lpstr>ApplianceSales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Dennis-Jan2010</dc:creator>
  <cp:lastModifiedBy>Windows User</cp:lastModifiedBy>
  <cp:lastPrinted>2020-12-05T02:27:53Z</cp:lastPrinted>
  <dcterms:created xsi:type="dcterms:W3CDTF">2010-02-25T02:00:13Z</dcterms:created>
  <dcterms:modified xsi:type="dcterms:W3CDTF">2021-04-23T03:15:44Z</dcterms:modified>
</cp:coreProperties>
</file>