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 defaultThemeVersion="124226"/>
  <xr:revisionPtr revIDLastSave="1" documentId="8_{C297461E-0FF6-4EB0-BCF6-1E167E92E1C7}" xr6:coauthVersionLast="34" xr6:coauthVersionMax="34" xr10:uidLastSave="{D7E587AE-4278-42F5-87FC-DD75868EB1D4}"/>
  <bookViews>
    <workbookView xWindow="0" yWindow="0" windowWidth="15345" windowHeight="3645" activeTab="2" xr2:uid="{00000000-000D-0000-FFFF-FFFF00000000}"/>
  </bookViews>
  <sheets>
    <sheet name="Assumptions" sheetId="20" r:id="rId1"/>
    <sheet name="Fixed deposit" sheetId="15" r:id="rId2"/>
    <sheet name="Debt Fund Solver" sheetId="19" r:id="rId3"/>
  </sheets>
  <externalReferences>
    <externalReference r:id="rId4"/>
    <externalReference r:id="rId5"/>
  </externalReferences>
  <definedNames>
    <definedName name="AssetHuDe10">'[1]Input Sheet'!$D$18</definedName>
    <definedName name="AssetHuDe5">'[1]Input Sheet'!$D$17</definedName>
    <definedName name="AssetHuEq">'[1]Input Sheet'!$D$19</definedName>
    <definedName name="AssetHuGo">'[1]Input Sheet'!$D$21</definedName>
    <definedName name="AssetHuPr">'[1]Input Sheet'!$D$20</definedName>
    <definedName name="AssetWiDe10">'[1]Input Sheet'!$E$18</definedName>
    <definedName name="AssetWiDe5">'[1]Input Sheet'!$E$17</definedName>
    <definedName name="AssetWiEq">'[1]Input Sheet'!$E$19</definedName>
    <definedName name="AssetWiGo">'[1]Input Sheet'!$E$21</definedName>
    <definedName name="AssetWiPr">'[1]Input Sheet'!$E$20</definedName>
    <definedName name="DepChPer">'[1]Input Details'!$F$27</definedName>
    <definedName name="DepParPer">'[1]Input Details'!$F$28</definedName>
    <definedName name="ExDepChi">'[1]Input Details'!$D$27</definedName>
    <definedName name="ExpDepPar">'[1]Input Details'!$D$28</definedName>
    <definedName name="ExpHoHo">'[1]Input Sheet'!$D$43</definedName>
    <definedName name="ExpInf">'[1]Input Sheet'!$D$48</definedName>
    <definedName name="ExpLiSt">'[1]Input Sheet'!$D$44</definedName>
    <definedName name="ExpTa">'[1]Input Sheet'!$D$46</definedName>
    <definedName name="GoalsCh1GrEx">'[1]Input Sheet'!$E$63</definedName>
    <definedName name="GoalsCh1GrYr">'[1]Input Sheet'!$D$63</definedName>
    <definedName name="GoalsCh1MarEx">'[1]Input Sheet'!$E$65</definedName>
    <definedName name="GoalsCh1MarYr">'[1]Input Sheet'!$D$65</definedName>
    <definedName name="GoalsCh1OthEx">'[1]Input Sheet'!$E$66</definedName>
    <definedName name="GoalsCh1OthYR">'[1]Input Sheet'!$D$66</definedName>
    <definedName name="GoalsCh1PGEx">'[1]Input Sheet'!$E$64</definedName>
    <definedName name="GoalsCh1PGYr">'[1]Input Sheet'!$D$64</definedName>
    <definedName name="GoalsCh2ExOth">'[1]Input Sheet'!$E$70</definedName>
    <definedName name="GoalsCh2GrEx">'[1]Input Sheet'!$E$67</definedName>
    <definedName name="GoalsCh2GrYr">'[1]Input Sheet'!$D$67</definedName>
    <definedName name="GoalsCh2MarEx">'[1]Input Sheet'!$E$69</definedName>
    <definedName name="GoalsCh2MarYr">'[1]Input Sheet'!$D$69</definedName>
    <definedName name="GoalsCh2othYr">'[1]Input Sheet'!$D$70</definedName>
    <definedName name="GoalsCh2PGExp">'[1]Input Sheet'!$E$68</definedName>
    <definedName name="GoalsCh2PGYr">'[1]Input Sheet'!$D$68</definedName>
    <definedName name="GoalsHeEx">'[1]Input Sheet'!$E$62</definedName>
    <definedName name="GoalsHeYr">'[1]Input Sheet'!$D$62</definedName>
    <definedName name="GoalsHoExp">'[1]Input Sheet'!$E$71</definedName>
    <definedName name="GoalsHoYr">'[1]Input Sheet'!$D$71</definedName>
    <definedName name="GoalsOthEx">'[1]Input Sheet'!$E$72</definedName>
    <definedName name="GoalsOthYr">'[1]Input Sheet'!$D$72</definedName>
    <definedName name="IncomeHuGr">'[1]Input Sheet'!$D$37</definedName>
    <definedName name="IncomeHuRent">'[1]Input Sheet'!$D$36</definedName>
    <definedName name="IncomeHuSal">'[1]Input Sheet'!$D$35</definedName>
    <definedName name="IncomeWiGr">'[1]Input Sheet'!$E$37</definedName>
    <definedName name="IncomeWiRent">'[1]Input Sheet'!$E$36</definedName>
    <definedName name="IncomeWiSal">'[1]Input Sheet'!$E$35</definedName>
    <definedName name="LiabilityAuLoEmi">'[1]Input Sheet'!$E$26</definedName>
    <definedName name="LiabilityAuLoMts">'[1]Input Sheet'!$E$27</definedName>
    <definedName name="LiabilityAutoLoanYrs">'[1]Input Sheet'!$E$29</definedName>
    <definedName name="LiabilityHoLoEmi">'[1]Input Sheet'!$D$26</definedName>
    <definedName name="LiabilityHoLoMts">'[1]Input Sheet'!$D$27</definedName>
    <definedName name="LiabilityHomeLoYrs">'[1]Input Sheet'!$D$29</definedName>
    <definedName name="LiabilityPeLoEmi">'[1]Input Sheet'!$F$26</definedName>
    <definedName name="LiabilityPeLoMts">'[1]Input Sheet'!$F$27</definedName>
    <definedName name="LiabilityPersLoanYrs">'[1]Input Sheet'!$F$29</definedName>
    <definedName name="Plandate">'[1]Retirement Corpus'!$K$3</definedName>
    <definedName name="Planend">'[1]Retirement Corpus'!$C$26</definedName>
    <definedName name="Point1">#REF!</definedName>
    <definedName name="Point2">#REF!</definedName>
    <definedName name="Point3">#REF!</definedName>
    <definedName name="Point4">#REF!</definedName>
    <definedName name="Point5">#REF!</definedName>
    <definedName name="Point6">#REF!</definedName>
    <definedName name="Point7">#REF!</definedName>
    <definedName name="Retdate1">'[1]Retirement Corpus'!$C$24</definedName>
    <definedName name="Retdate2">'[1]Retirement Corpus'!$C$25</definedName>
    <definedName name="RetEx">'[1]Required Return'!$F$6</definedName>
    <definedName name="RiskOutput">#REF!</definedName>
    <definedName name="solver_adj" localSheetId="2" hidden="1">'Debt Fund Solver'!$E$10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'Debt Fund Solver'!$H$10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0</definedName>
    <definedName name="solver_ver" localSheetId="2" hidden="1">3</definedName>
    <definedName name="Time_to_Goal1">'[2]Goal 1'!$C$9</definedName>
    <definedName name="Time_to_Goal2">'[2]Goal 2'!$C$9</definedName>
    <definedName name="Time_to_Goal3">'[2]Goal 3'!$C$9</definedName>
    <definedName name="Time_to_Goal4">'[2]Goal 4'!$C$9</definedName>
    <definedName name="Time_To_Goal5">'[2]Goal 5'!$C$9</definedName>
    <definedName name="Time_to_Goal6">'[2]Goal 6'!$C$9</definedName>
    <definedName name="Time_to_GoalRetirement">[2]Retirement!$C$9</definedName>
    <definedName name="TimeAgeHu">'[1]Input Sheet'!$D$78</definedName>
    <definedName name="TimeAgeWi">'[1]Input Sheet'!$D$79</definedName>
    <definedName name="TimeInRet1">'[1]Retirement Corpus'!$C$17</definedName>
    <definedName name="TimeInRetAlone">'[1]Retirement Corpus'!$C$18</definedName>
    <definedName name="TimeLiExHu">'[1]Input Sheet'!$D$80</definedName>
    <definedName name="TimeLiExWi">'[1]Input Sheet'!$D$81</definedName>
    <definedName name="TimeReHu">'[1]Input Sheet'!$D$82</definedName>
    <definedName name="TimeReWi">'[1]Input Sheet'!$D$83</definedName>
    <definedName name="TimeToRetHu">'[1]Retirement Corpus'!$H$17</definedName>
    <definedName name="TimeToRetWi">'[1]Retirement Corpus'!$H$18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19" l="1"/>
  <c r="E13" i="19"/>
  <c r="E7" i="19"/>
  <c r="E6" i="19"/>
  <c r="E4" i="19"/>
  <c r="E2" i="19"/>
  <c r="E9" i="19"/>
  <c r="D8" i="15"/>
  <c r="D5" i="15"/>
  <c r="D4" i="15"/>
  <c r="D3" i="15"/>
  <c r="D1" i="15"/>
  <c r="B5" i="20"/>
  <c r="E5" i="19" s="1"/>
  <c r="B8" i="20"/>
  <c r="D6" i="15" s="1"/>
  <c r="B2" i="20"/>
  <c r="E3" i="19" s="1"/>
  <c r="E8" i="19" l="1"/>
  <c r="D2" i="15"/>
  <c r="A18" i="19"/>
  <c r="A19" i="19" s="1"/>
  <c r="E11" i="19"/>
  <c r="F17" i="19" s="1"/>
  <c r="A20" i="19" l="1"/>
  <c r="A21" i="19" s="1"/>
  <c r="O19" i="19"/>
  <c r="E19" i="19"/>
  <c r="E20" i="19"/>
  <c r="E21" i="19"/>
  <c r="E18" i="19"/>
  <c r="F19" i="19"/>
  <c r="C20" i="19" s="1"/>
  <c r="F18" i="19"/>
  <c r="C17" i="19"/>
  <c r="F21" i="19"/>
  <c r="F20" i="19"/>
  <c r="E17" i="19"/>
  <c r="A22" i="19" l="1"/>
  <c r="O21" i="19"/>
  <c r="C21" i="19"/>
  <c r="C19" i="19"/>
  <c r="G18" i="19"/>
  <c r="H18" i="19" s="1"/>
  <c r="J18" i="19" s="1"/>
  <c r="C22" i="19"/>
  <c r="G17" i="19"/>
  <c r="H17" i="19" s="1"/>
  <c r="C18" i="19"/>
  <c r="A23" i="19" l="1"/>
  <c r="O22" i="19"/>
  <c r="F22" i="19"/>
  <c r="C23" i="19" s="1"/>
  <c r="E22" i="19"/>
  <c r="I18" i="19"/>
  <c r="J17" i="19"/>
  <c r="I17" i="19"/>
  <c r="A15" i="15"/>
  <c r="A24" i="19" l="1"/>
  <c r="O23" i="19"/>
  <c r="E23" i="19"/>
  <c r="F23" i="19"/>
  <c r="C24" i="19" s="1"/>
  <c r="D14" i="15"/>
  <c r="D15" i="15"/>
  <c r="G21" i="19"/>
  <c r="H21" i="19" s="1"/>
  <c r="I21" i="19" s="1"/>
  <c r="G20" i="19"/>
  <c r="H20" i="19" s="1"/>
  <c r="I20" i="19" s="1"/>
  <c r="G22" i="19"/>
  <c r="H22" i="19" s="1"/>
  <c r="I22" i="19" s="1"/>
  <c r="G19" i="19"/>
  <c r="H19" i="19" s="1"/>
  <c r="I19" i="19" s="1"/>
  <c r="L17" i="19"/>
  <c r="L18" i="19"/>
  <c r="A16" i="15"/>
  <c r="D16" i="15" s="1"/>
  <c r="G23" i="19" l="1"/>
  <c r="H23" i="19" s="1"/>
  <c r="I23" i="19" s="1"/>
  <c r="A25" i="19"/>
  <c r="O24" i="19"/>
  <c r="F24" i="19"/>
  <c r="E24" i="19"/>
  <c r="A17" i="15"/>
  <c r="D17" i="15" s="1"/>
  <c r="K23" i="19" l="1"/>
  <c r="C25" i="19"/>
  <c r="G24" i="19"/>
  <c r="A26" i="19"/>
  <c r="F25" i="19"/>
  <c r="E25" i="19"/>
  <c r="K19" i="19"/>
  <c r="K21" i="19"/>
  <c r="K22" i="19"/>
  <c r="K20" i="19"/>
  <c r="A18" i="15"/>
  <c r="D18" i="15" s="1"/>
  <c r="L22" i="19" l="1"/>
  <c r="L23" i="19"/>
  <c r="L21" i="19"/>
  <c r="L19" i="19"/>
  <c r="L20" i="19"/>
  <c r="A27" i="19"/>
  <c r="O26" i="19"/>
  <c r="F26" i="19"/>
  <c r="E26" i="19"/>
  <c r="H24" i="19"/>
  <c r="I24" i="19" s="1"/>
  <c r="C26" i="19"/>
  <c r="G25" i="19"/>
  <c r="A19" i="15"/>
  <c r="D19" i="15" s="1"/>
  <c r="H25" i="19" l="1"/>
  <c r="I25" i="19" s="1"/>
  <c r="C27" i="19"/>
  <c r="G26" i="19"/>
  <c r="K24" i="19"/>
  <c r="A28" i="19"/>
  <c r="O27" i="19"/>
  <c r="E27" i="19"/>
  <c r="F27" i="19"/>
  <c r="A20" i="15"/>
  <c r="D20" i="15" s="1"/>
  <c r="L24" i="19" l="1"/>
  <c r="H26" i="19"/>
  <c r="I26" i="19" s="1"/>
  <c r="A29" i="19"/>
  <c r="O28" i="19"/>
  <c r="E28" i="19"/>
  <c r="F28" i="19"/>
  <c r="K25" i="19"/>
  <c r="C28" i="19"/>
  <c r="G27" i="19"/>
  <c r="A21" i="15"/>
  <c r="D21" i="15" s="1"/>
  <c r="L25" i="19" l="1"/>
  <c r="K26" i="19"/>
  <c r="A30" i="19"/>
  <c r="O29" i="19"/>
  <c r="E29" i="19"/>
  <c r="F29" i="19"/>
  <c r="C29" i="19"/>
  <c r="G28" i="19"/>
  <c r="H27" i="19"/>
  <c r="I27" i="19" s="1"/>
  <c r="A22" i="15"/>
  <c r="D22" i="15" s="1"/>
  <c r="L26" i="19" l="1"/>
  <c r="K27" i="19"/>
  <c r="C30" i="19"/>
  <c r="G29" i="19"/>
  <c r="H28" i="19"/>
  <c r="I28" i="19" s="1"/>
  <c r="A31" i="19"/>
  <c r="E30" i="19"/>
  <c r="F30" i="19"/>
  <c r="A23" i="15"/>
  <c r="D23" i="15" s="1"/>
  <c r="L27" i="19" l="1"/>
  <c r="K28" i="19"/>
  <c r="H29" i="19"/>
  <c r="I29" i="19" s="1"/>
  <c r="C31" i="19"/>
  <c r="G30" i="19"/>
  <c r="A32" i="19"/>
  <c r="O31" i="19"/>
  <c r="E31" i="19"/>
  <c r="F31" i="19"/>
  <c r="A24" i="15"/>
  <c r="D24" i="15" s="1"/>
  <c r="L28" i="19" l="1"/>
  <c r="C32" i="19"/>
  <c r="G31" i="19"/>
  <c r="K29" i="19"/>
  <c r="H30" i="19"/>
  <c r="I30" i="19" s="1"/>
  <c r="O32" i="19"/>
  <c r="F32" i="19"/>
  <c r="E32" i="19"/>
  <c r="A33" i="19"/>
  <c r="A25" i="15"/>
  <c r="D25" i="15" s="1"/>
  <c r="L29" i="19" l="1"/>
  <c r="C33" i="19"/>
  <c r="G32" i="19"/>
  <c r="H31" i="19"/>
  <c r="I31" i="19" s="1"/>
  <c r="O33" i="19"/>
  <c r="E33" i="19"/>
  <c r="F33" i="19"/>
  <c r="A34" i="19"/>
  <c r="K30" i="19"/>
  <c r="A26" i="15"/>
  <c r="D26" i="15" s="1"/>
  <c r="L30" i="19" l="1"/>
  <c r="K31" i="19"/>
  <c r="G33" i="19"/>
  <c r="C34" i="19"/>
  <c r="O34" i="19"/>
  <c r="E34" i="19"/>
  <c r="F34" i="19"/>
  <c r="A35" i="19"/>
  <c r="H32" i="19"/>
  <c r="I32" i="19" s="1"/>
  <c r="A27" i="15"/>
  <c r="D27" i="15" s="1"/>
  <c r="L31" i="19" l="1"/>
  <c r="K32" i="19"/>
  <c r="E35" i="19"/>
  <c r="F35" i="19"/>
  <c r="A36" i="19"/>
  <c r="G34" i="19"/>
  <c r="C35" i="19"/>
  <c r="H33" i="19"/>
  <c r="I33" i="19" s="1"/>
  <c r="A28" i="15"/>
  <c r="D28" i="15" s="1"/>
  <c r="L32" i="19" l="1"/>
  <c r="K33" i="19"/>
  <c r="O36" i="19"/>
  <c r="E36" i="19"/>
  <c r="A37" i="19"/>
  <c r="F36" i="19"/>
  <c r="G35" i="19"/>
  <c r="C36" i="19"/>
  <c r="H34" i="19"/>
  <c r="I34" i="19" s="1"/>
  <c r="B17" i="19"/>
  <c r="E12" i="19"/>
  <c r="A29" i="15"/>
  <c r="D29" i="15" s="1"/>
  <c r="L33" i="19" l="1"/>
  <c r="K34" i="19"/>
  <c r="G36" i="19"/>
  <c r="C37" i="19"/>
  <c r="O37" i="19"/>
  <c r="E37" i="19"/>
  <c r="A38" i="19"/>
  <c r="F37" i="19"/>
  <c r="H35" i="19"/>
  <c r="I35" i="19" s="1"/>
  <c r="D17" i="19"/>
  <c r="M17" i="19" s="1"/>
  <c r="A30" i="15"/>
  <c r="D30" i="15" s="1"/>
  <c r="L34" i="19" l="1"/>
  <c r="K35" i="19"/>
  <c r="G37" i="19"/>
  <c r="C38" i="19"/>
  <c r="O38" i="19"/>
  <c r="E38" i="19"/>
  <c r="F38" i="19"/>
  <c r="A39" i="19"/>
  <c r="H36" i="19"/>
  <c r="I36" i="19" s="1"/>
  <c r="N17" i="19"/>
  <c r="D18" i="19"/>
  <c r="M18" i="19" s="1"/>
  <c r="D19" i="19" s="1"/>
  <c r="A31" i="15"/>
  <c r="D31" i="15" s="1"/>
  <c r="L35" i="19" l="1"/>
  <c r="K36" i="19"/>
  <c r="L36" i="19" s="1"/>
  <c r="O39" i="19"/>
  <c r="E39" i="19"/>
  <c r="A40" i="19"/>
  <c r="F39" i="19"/>
  <c r="G38" i="19"/>
  <c r="C39" i="19"/>
  <c r="H37" i="19"/>
  <c r="I37" i="19" s="1"/>
  <c r="O17" i="19"/>
  <c r="B18" i="19"/>
  <c r="N18" i="19"/>
  <c r="M19" i="19"/>
  <c r="D20" i="19" s="1"/>
  <c r="A32" i="15"/>
  <c r="D32" i="15" s="1"/>
  <c r="K37" i="19" l="1"/>
  <c r="L37" i="19" s="1"/>
  <c r="G39" i="19"/>
  <c r="C40" i="19"/>
  <c r="E40" i="19"/>
  <c r="A41" i="19"/>
  <c r="F40" i="19"/>
  <c r="H38" i="19"/>
  <c r="I38" i="19" s="1"/>
  <c r="B19" i="19"/>
  <c r="O18" i="19"/>
  <c r="N19" i="19"/>
  <c r="M20" i="19"/>
  <c r="D21" i="19" s="1"/>
  <c r="A33" i="15"/>
  <c r="D33" i="15" s="1"/>
  <c r="B20" i="19" l="1"/>
  <c r="K38" i="19"/>
  <c r="L38" i="19" s="1"/>
  <c r="O41" i="19"/>
  <c r="E41" i="19"/>
  <c r="A42" i="19"/>
  <c r="F41" i="19"/>
  <c r="G40" i="19"/>
  <c r="C41" i="19"/>
  <c r="H39" i="19"/>
  <c r="I39" i="19" s="1"/>
  <c r="N20" i="19"/>
  <c r="M21" i="19"/>
  <c r="D22" i="19" s="1"/>
  <c r="A34" i="15"/>
  <c r="D34" i="15" s="1"/>
  <c r="K39" i="19" l="1"/>
  <c r="L39" i="19" s="1"/>
  <c r="O42" i="19"/>
  <c r="E42" i="19"/>
  <c r="A43" i="19"/>
  <c r="F42" i="19"/>
  <c r="G41" i="19"/>
  <c r="C42" i="19"/>
  <c r="H40" i="19"/>
  <c r="I40" i="19" s="1"/>
  <c r="B21" i="19"/>
  <c r="O20" i="19"/>
  <c r="M22" i="19"/>
  <c r="D23" i="19" s="1"/>
  <c r="N21" i="19"/>
  <c r="A35" i="15"/>
  <c r="D35" i="15" s="1"/>
  <c r="B22" i="19" l="1"/>
  <c r="K40" i="19"/>
  <c r="L40" i="19" s="1"/>
  <c r="O43" i="19"/>
  <c r="E43" i="19"/>
  <c r="A44" i="19"/>
  <c r="F43" i="19"/>
  <c r="G42" i="19"/>
  <c r="C43" i="19"/>
  <c r="H41" i="19"/>
  <c r="I41" i="19" s="1"/>
  <c r="M23" i="19"/>
  <c r="N22" i="19"/>
  <c r="A36" i="15"/>
  <c r="D36" i="15" s="1"/>
  <c r="B23" i="19" l="1"/>
  <c r="K41" i="19"/>
  <c r="L41" i="19" s="1"/>
  <c r="G43" i="19"/>
  <c r="C44" i="19"/>
  <c r="O44" i="19"/>
  <c r="E44" i="19"/>
  <c r="F44" i="19"/>
  <c r="A45" i="19"/>
  <c r="H42" i="19"/>
  <c r="I42" i="19" s="1"/>
  <c r="D24" i="19"/>
  <c r="M24" i="19" s="1"/>
  <c r="N23" i="19"/>
  <c r="A37" i="15"/>
  <c r="D37" i="15" s="1"/>
  <c r="B24" i="19" l="1"/>
  <c r="K42" i="19"/>
  <c r="L42" i="19" s="1"/>
  <c r="E45" i="19"/>
  <c r="F45" i="19"/>
  <c r="G45" i="19" s="1"/>
  <c r="G44" i="19"/>
  <c r="C45" i="19"/>
  <c r="H43" i="19"/>
  <c r="I43" i="19" s="1"/>
  <c r="D25" i="19"/>
  <c r="M25" i="19" s="1"/>
  <c r="D26" i="19" s="1"/>
  <c r="M26" i="19" s="1"/>
  <c r="D27" i="19" s="1"/>
  <c r="N24" i="19"/>
  <c r="A38" i="15"/>
  <c r="D38" i="15" s="1"/>
  <c r="B25" i="19" l="1"/>
  <c r="K43" i="19"/>
  <c r="L43" i="19" s="1"/>
  <c r="H44" i="19"/>
  <c r="I44" i="19" s="1"/>
  <c r="H45" i="19"/>
  <c r="I45" i="19" s="1"/>
  <c r="N25" i="19"/>
  <c r="M27" i="19"/>
  <c r="D28" i="19" s="1"/>
  <c r="N26" i="19"/>
  <c r="A39" i="15"/>
  <c r="D39" i="15" s="1"/>
  <c r="B27" i="19" l="1"/>
  <c r="B26" i="19"/>
  <c r="O25" i="19"/>
  <c r="K45" i="19"/>
  <c r="L45" i="19" s="1"/>
  <c r="K44" i="19"/>
  <c r="L44" i="19" s="1"/>
  <c r="M28" i="19"/>
  <c r="D29" i="19" s="1"/>
  <c r="N27" i="19"/>
  <c r="A40" i="15"/>
  <c r="D40" i="15" s="1"/>
  <c r="B28" i="19" l="1"/>
  <c r="K46" i="19"/>
  <c r="C14" i="20" s="1"/>
  <c r="N28" i="19"/>
  <c r="M29" i="19"/>
  <c r="D30" i="19" s="1"/>
  <c r="A41" i="15"/>
  <c r="D41" i="15" s="1"/>
  <c r="B29" i="19" l="1"/>
  <c r="N29" i="19"/>
  <c r="M30" i="19"/>
  <c r="D31" i="19" s="1"/>
  <c r="A42" i="15"/>
  <c r="D42" i="15" s="1"/>
  <c r="B30" i="19" l="1"/>
  <c r="B13" i="20"/>
  <c r="D13" i="20" s="1"/>
  <c r="E13" i="20" s="1"/>
  <c r="D7" i="15"/>
  <c r="N30" i="19"/>
  <c r="M31" i="19"/>
  <c r="D32" i="19" s="1"/>
  <c r="B31" i="19" l="1"/>
  <c r="O30" i="19"/>
  <c r="M32" i="19"/>
  <c r="D33" i="19" s="1"/>
  <c r="N31" i="19"/>
  <c r="B32" i="19" l="1"/>
  <c r="N32" i="19"/>
  <c r="M33" i="19"/>
  <c r="D34" i="19" s="1"/>
  <c r="B14" i="15"/>
  <c r="N46" i="19" s="1"/>
  <c r="B33" i="19" l="1"/>
  <c r="M34" i="19"/>
  <c r="D35" i="19" s="1"/>
  <c r="N33" i="19"/>
  <c r="C14" i="15"/>
  <c r="B34" i="19" l="1"/>
  <c r="E14" i="15"/>
  <c r="F14" i="15" s="1"/>
  <c r="B15" i="15" s="1"/>
  <c r="N34" i="19"/>
  <c r="M35" i="19"/>
  <c r="D36" i="19" s="1"/>
  <c r="B35" i="19" l="1"/>
  <c r="M36" i="19"/>
  <c r="D37" i="19" s="1"/>
  <c r="N35" i="19"/>
  <c r="C15" i="15"/>
  <c r="E15" i="15" l="1"/>
  <c r="F15" i="15" s="1"/>
  <c r="B16" i="15" s="1"/>
  <c r="B36" i="19"/>
  <c r="O35" i="19"/>
  <c r="M37" i="19"/>
  <c r="D38" i="19" s="1"/>
  <c r="N36" i="19"/>
  <c r="B37" i="19" s="1"/>
  <c r="C16" i="15" l="1"/>
  <c r="N37" i="19"/>
  <c r="B38" i="19" s="1"/>
  <c r="M38" i="19"/>
  <c r="D39" i="19" s="1"/>
  <c r="E16" i="15" l="1"/>
  <c r="F16" i="15" s="1"/>
  <c r="B17" i="15" s="1"/>
  <c r="N38" i="19"/>
  <c r="B39" i="19" s="1"/>
  <c r="M39" i="19"/>
  <c r="D40" i="19" s="1"/>
  <c r="C17" i="15" l="1"/>
  <c r="M40" i="19"/>
  <c r="D41" i="19" s="1"/>
  <c r="N39" i="19"/>
  <c r="B40" i="19" s="1"/>
  <c r="E17" i="15" l="1"/>
  <c r="F17" i="15" s="1"/>
  <c r="B18" i="15" s="1"/>
  <c r="C18" i="15" s="1"/>
  <c r="M41" i="19"/>
  <c r="D42" i="19" s="1"/>
  <c r="N40" i="19"/>
  <c r="E18" i="15" l="1"/>
  <c r="F18" i="15" s="1"/>
  <c r="B19" i="15" s="1"/>
  <c r="C19" i="15" s="1"/>
  <c r="B41" i="19"/>
  <c r="O40" i="19"/>
  <c r="M42" i="19"/>
  <c r="D43" i="19" s="1"/>
  <c r="N41" i="19"/>
  <c r="B42" i="19" s="1"/>
  <c r="E19" i="15" l="1"/>
  <c r="F19" i="15" s="1"/>
  <c r="M43" i="19"/>
  <c r="D44" i="19" s="1"/>
  <c r="N42" i="19"/>
  <c r="B43" i="19" s="1"/>
  <c r="B20" i="15" l="1"/>
  <c r="C20" i="15" s="1"/>
  <c r="M44" i="19"/>
  <c r="D45" i="19" s="1"/>
  <c r="N43" i="19"/>
  <c r="B44" i="19" s="1"/>
  <c r="E20" i="15" l="1"/>
  <c r="M45" i="19"/>
  <c r="N45" i="19" s="1"/>
  <c r="O45" i="19" s="1"/>
  <c r="O16" i="19" s="1"/>
  <c r="E12" i="20" s="1"/>
  <c r="N44" i="19"/>
  <c r="B45" i="19" s="1"/>
  <c r="F20" i="15" l="1"/>
  <c r="B21" i="15" s="1"/>
  <c r="C21" i="15" s="1"/>
  <c r="E21" i="15" l="1"/>
  <c r="F21" i="15" s="1"/>
  <c r="B22" i="15" s="1"/>
  <c r="C22" i="15" s="1"/>
  <c r="E22" i="15" l="1"/>
  <c r="F22" i="15" s="1"/>
  <c r="B23" i="15" l="1"/>
  <c r="C23" i="15" l="1"/>
  <c r="E23" i="15" l="1"/>
  <c r="F23" i="15" s="1"/>
  <c r="B24" i="15" s="1"/>
  <c r="C24" i="15" l="1"/>
  <c r="E24" i="15" l="1"/>
  <c r="F24" i="15" s="1"/>
  <c r="B25" i="15" s="1"/>
  <c r="C25" i="15" s="1"/>
  <c r="E25" i="15" l="1"/>
  <c r="F25" i="15" s="1"/>
  <c r="B26" i="15" s="1"/>
  <c r="C26" i="15" s="1"/>
  <c r="E26" i="15" l="1"/>
  <c r="F26" i="15" s="1"/>
  <c r="B27" i="15" s="1"/>
  <c r="C27" i="15" l="1"/>
  <c r="E27" i="15" l="1"/>
  <c r="F27" i="15" s="1"/>
  <c r="B28" i="15" s="1"/>
  <c r="C28" i="15" s="1"/>
  <c r="E28" i="15" l="1"/>
  <c r="F28" i="15" s="1"/>
  <c r="B29" i="15" s="1"/>
  <c r="C29" i="15" s="1"/>
  <c r="E29" i="15" l="1"/>
  <c r="F29" i="15" s="1"/>
  <c r="B30" i="15" l="1"/>
  <c r="C30" i="15" l="1"/>
  <c r="E30" i="15" l="1"/>
  <c r="F30" i="15" s="1"/>
  <c r="B31" i="15" l="1"/>
  <c r="C31" i="15" s="1"/>
  <c r="E31" i="15" l="1"/>
  <c r="F31" i="15" s="1"/>
  <c r="B32" i="15"/>
  <c r="C32" i="15" l="1"/>
  <c r="E32" i="15" l="1"/>
  <c r="F32" i="15" s="1"/>
  <c r="B33" i="15" s="1"/>
  <c r="C33" i="15" l="1"/>
  <c r="E33" i="15" l="1"/>
  <c r="F33" i="15" s="1"/>
  <c r="B34" i="15" s="1"/>
  <c r="C34" i="15" l="1"/>
  <c r="E34" i="15" l="1"/>
  <c r="F34" i="15" s="1"/>
  <c r="B35" i="15" s="1"/>
  <c r="C35" i="15" l="1"/>
  <c r="E35" i="15" l="1"/>
  <c r="F35" i="15" s="1"/>
  <c r="B36" i="15" s="1"/>
  <c r="C36" i="15" l="1"/>
  <c r="E36" i="15" l="1"/>
  <c r="F36" i="15" s="1"/>
  <c r="B37" i="15" s="1"/>
  <c r="C37" i="15" s="1"/>
  <c r="E37" i="15" l="1"/>
  <c r="F37" i="15" s="1"/>
  <c r="B38" i="15" s="1"/>
  <c r="C38" i="15" s="1"/>
  <c r="E38" i="15" l="1"/>
  <c r="F38" i="15" s="1"/>
  <c r="B39" i="15" s="1"/>
  <c r="C39" i="15" s="1"/>
  <c r="E39" i="15" l="1"/>
  <c r="F39" i="15" s="1"/>
  <c r="B40" i="15" s="1"/>
  <c r="C40" i="15" s="1"/>
  <c r="E40" i="15" l="1"/>
  <c r="F40" i="15" s="1"/>
  <c r="B41" i="15" s="1"/>
  <c r="C41" i="15" s="1"/>
  <c r="E41" i="15" l="1"/>
  <c r="F41" i="15" s="1"/>
  <c r="B42" i="15" s="1"/>
  <c r="C42" i="15" s="1"/>
  <c r="E42" i="15" l="1"/>
  <c r="E43" i="15" s="1"/>
  <c r="B14" i="20" s="1"/>
  <c r="D14" i="20" s="1"/>
  <c r="F42" i="15" l="1"/>
</calcChain>
</file>

<file path=xl/sharedStrings.xml><?xml version="1.0" encoding="utf-8"?>
<sst xmlns="http://schemas.openxmlformats.org/spreadsheetml/2006/main" count="102" uniqueCount="61">
  <si>
    <t>Op Bal</t>
  </si>
  <si>
    <t>Tax</t>
  </si>
  <si>
    <t>Units</t>
  </si>
  <si>
    <t>Expenses every month</t>
  </si>
  <si>
    <t>Inflation rate</t>
  </si>
  <si>
    <t>At the end of year</t>
  </si>
  <si>
    <t>Expenses first year</t>
  </si>
  <si>
    <t>Interest rate on FD</t>
  </si>
  <si>
    <t>Tax rate</t>
  </si>
  <si>
    <t>Net of tax interest</t>
  </si>
  <si>
    <t>Present Value</t>
  </si>
  <si>
    <t>Expenses</t>
  </si>
  <si>
    <t>Initial Units</t>
  </si>
  <si>
    <t>Units Balance</t>
  </si>
  <si>
    <t>Op Nav</t>
  </si>
  <si>
    <t>Units Sold</t>
  </si>
  <si>
    <t>Cl Nav</t>
  </si>
  <si>
    <t>CII Rate</t>
  </si>
  <si>
    <t>Cl Units Bal</t>
  </si>
  <si>
    <t>Cl bal</t>
  </si>
  <si>
    <t>Income</t>
  </si>
  <si>
    <t>CII Rate for LTCG</t>
  </si>
  <si>
    <t>Short term Capital Tax</t>
  </si>
  <si>
    <t>Long term Capital Tax</t>
  </si>
  <si>
    <t>Net Value after Tax</t>
  </si>
  <si>
    <t>Gross Redemption Value</t>
  </si>
  <si>
    <t xml:space="preserve">Debt Funds </t>
  </si>
  <si>
    <t>Tax paid</t>
  </si>
  <si>
    <t>Fixed Deposits as an Income Generator</t>
  </si>
  <si>
    <t>Tax Paid</t>
  </si>
  <si>
    <t>Corpus Reduction</t>
  </si>
  <si>
    <t>Year End</t>
  </si>
  <si>
    <t>Debt Fund with Lower Corpus</t>
  </si>
  <si>
    <t>Normal Tax rate</t>
  </si>
  <si>
    <t>Cap gains Tax Rate</t>
  </si>
  <si>
    <t>Period</t>
  </si>
  <si>
    <t>Minimum 2</t>
  </si>
  <si>
    <t>Maximum 30</t>
  </si>
  <si>
    <t>Period (in Years)</t>
  </si>
  <si>
    <t>CII as %age of Inflation</t>
  </si>
  <si>
    <t>Interest rate on FD/Debt MF</t>
  </si>
  <si>
    <t>Tax rate on long term gains</t>
  </si>
  <si>
    <t>Interest rate on Debt MF</t>
  </si>
  <si>
    <t>Fixed Deposit</t>
  </si>
  <si>
    <t>Debt MF</t>
  </si>
  <si>
    <t>Amount required in the beginning</t>
  </si>
  <si>
    <t>Goal seek - Cell E12 to zero by changing cell C13</t>
  </si>
  <si>
    <t>Savings</t>
  </si>
  <si>
    <t>CII - Zero /Cap gain rate same as Tax rate</t>
  </si>
  <si>
    <t>CII - 75%/Cap Gain Rate same as Tax rate</t>
  </si>
  <si>
    <t>Period 20</t>
  </si>
  <si>
    <t>Period - 20</t>
  </si>
  <si>
    <t xml:space="preserve">CII - 75%/Cap Gain Rate 20.60% </t>
  </si>
  <si>
    <t>Period 30</t>
  </si>
  <si>
    <t>Period - 30</t>
  </si>
  <si>
    <t>Period 5</t>
  </si>
  <si>
    <t>Period - 5</t>
  </si>
  <si>
    <t>Period 10</t>
  </si>
  <si>
    <t>Period - 10</t>
  </si>
  <si>
    <t xml:space="preserve"> </t>
  </si>
  <si>
    <t>Scenario Painting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</si>
</sst>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₹&quot;\ #,##0;[Red]&quot;₹&quot;\ \-#,##0"/>
    <numFmt numFmtId="43" formatCode="_ * #,##0.00_ ;_ * \-#,##0.00_ ;_ * &quot;-&quot;??_ ;_ @_ "/>
    <numFmt numFmtId="164" formatCode="_ * #,##0_ ;_ * \-#,##0_ ;_ * &quot;-&quot;??_ ;_ @_ "/>
    <numFmt numFmtId="165" formatCode="_ * #,##0.0000_ ;_ * \-#,##0.00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1" fontId="0" fillId="0" borderId="0" xfId="0" applyNumberFormat="1"/>
    <xf numFmtId="0" fontId="0" fillId="0" borderId="0" xfId="0"/>
    <xf numFmtId="9" fontId="0" fillId="0" borderId="0" xfId="1" applyFont="1"/>
    <xf numFmtId="0" fontId="0" fillId="0" borderId="0" xfId="0" applyAlignment="1"/>
    <xf numFmtId="0" fontId="0" fillId="0" borderId="1" xfId="0" applyBorder="1"/>
    <xf numFmtId="6" fontId="0" fillId="0" borderId="1" xfId="0" applyNumberFormat="1" applyBorder="1"/>
    <xf numFmtId="164" fontId="0" fillId="0" borderId="1" xfId="2" applyNumberFormat="1" applyFont="1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2" applyNumberFormat="1" applyFont="1" applyFill="1" applyBorder="1"/>
    <xf numFmtId="164" fontId="0" fillId="2" borderId="1" xfId="0" applyNumberFormat="1" applyFill="1" applyBorder="1"/>
    <xf numFmtId="6" fontId="0" fillId="2" borderId="1" xfId="0" applyNumberFormat="1" applyFill="1" applyBorder="1"/>
    <xf numFmtId="0" fontId="0" fillId="2" borderId="1" xfId="0" applyFill="1" applyBorder="1" applyAlignment="1">
      <alignment wrapText="1"/>
    </xf>
    <xf numFmtId="1" fontId="0" fillId="0" borderId="1" xfId="0" applyNumberFormat="1" applyBorder="1"/>
    <xf numFmtId="1" fontId="0" fillId="2" borderId="1" xfId="0" applyNumberFormat="1" applyFill="1" applyBorder="1"/>
    <xf numFmtId="43" fontId="0" fillId="0" borderId="1" xfId="2" applyFont="1" applyBorder="1"/>
    <xf numFmtId="43" fontId="0" fillId="2" borderId="1" xfId="2" applyFont="1" applyFill="1" applyBorder="1"/>
    <xf numFmtId="164" fontId="0" fillId="4" borderId="1" xfId="2" applyNumberFormat="1" applyFont="1" applyFill="1" applyBorder="1"/>
    <xf numFmtId="164" fontId="0" fillId="5" borderId="1" xfId="2" applyNumberFormat="1" applyFont="1" applyFill="1" applyBorder="1"/>
    <xf numFmtId="10" fontId="0" fillId="5" borderId="1" xfId="1" applyNumberFormat="1" applyFont="1" applyFill="1" applyBorder="1"/>
    <xf numFmtId="10" fontId="0" fillId="4" borderId="1" xfId="1" applyNumberFormat="1" applyFont="1" applyFill="1" applyBorder="1"/>
    <xf numFmtId="43" fontId="0" fillId="4" borderId="1" xfId="2" applyFont="1" applyFill="1" applyBorder="1"/>
    <xf numFmtId="10" fontId="0" fillId="6" borderId="1" xfId="1" applyNumberFormat="1" applyFont="1" applyFill="1" applyBorder="1"/>
    <xf numFmtId="6" fontId="0" fillId="0" borderId="0" xfId="0" applyNumberFormat="1"/>
    <xf numFmtId="10" fontId="0" fillId="0" borderId="0" xfId="1" applyNumberFormat="1" applyFont="1"/>
    <xf numFmtId="0" fontId="0" fillId="0" borderId="0" xfId="0" applyAlignment="1">
      <alignment horizontal="center"/>
    </xf>
    <xf numFmtId="43" fontId="0" fillId="0" borderId="0" xfId="2" applyFont="1"/>
    <xf numFmtId="43" fontId="0" fillId="2" borderId="1" xfId="2" applyFont="1" applyFill="1" applyBorder="1" applyAlignment="1">
      <alignment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vertical="top"/>
    </xf>
    <xf numFmtId="164" fontId="0" fillId="0" borderId="0" xfId="2" applyNumberFormat="1" applyFont="1"/>
    <xf numFmtId="43" fontId="0" fillId="0" borderId="0" xfId="0" applyNumberFormat="1"/>
    <xf numFmtId="164" fontId="0" fillId="0" borderId="0" xfId="0" applyNumberFormat="1"/>
    <xf numFmtId="43" fontId="0" fillId="0" borderId="0" xfId="2" applyFont="1" applyAlignment="1"/>
    <xf numFmtId="0" fontId="0" fillId="6" borderId="0" xfId="0" applyFill="1"/>
    <xf numFmtId="43" fontId="0" fillId="6" borderId="0" xfId="0" applyNumberFormat="1" applyFill="1"/>
    <xf numFmtId="164" fontId="0" fillId="6" borderId="0" xfId="2" applyNumberFormat="1" applyFont="1" applyFill="1"/>
    <xf numFmtId="164" fontId="0" fillId="6" borderId="1" xfId="2" applyNumberFormat="1" applyFont="1" applyFill="1" applyBorder="1"/>
    <xf numFmtId="164" fontId="0" fillId="6" borderId="0" xfId="0" applyNumberFormat="1" applyFill="1"/>
    <xf numFmtId="10" fontId="0" fillId="6" borderId="0" xfId="1" applyNumberFormat="1" applyFont="1" applyFill="1"/>
    <xf numFmtId="164" fontId="0" fillId="0" borderId="0" xfId="2" applyNumberFormat="1" applyFont="1" applyFill="1"/>
    <xf numFmtId="164" fontId="0" fillId="0" borderId="0" xfId="0" applyNumberFormat="1" applyFill="1"/>
    <xf numFmtId="10" fontId="0" fillId="0" borderId="0" xfId="1" applyNumberFormat="1" applyFont="1" applyFill="1"/>
    <xf numFmtId="0" fontId="0" fillId="0" borderId="0" xfId="0" applyFill="1"/>
    <xf numFmtId="164" fontId="0" fillId="0" borderId="0" xfId="2" applyNumberFormat="1" applyFont="1" applyFill="1" applyBorder="1"/>
    <xf numFmtId="10" fontId="0" fillId="0" borderId="0" xfId="0" applyNumberFormat="1"/>
    <xf numFmtId="165" fontId="0" fillId="0" borderId="1" xfId="2" applyNumberFormat="1" applyFont="1" applyBorder="1"/>
    <xf numFmtId="43" fontId="0" fillId="0" borderId="0" xfId="0" applyNumberFormat="1" applyAlignment="1">
      <alignment horizontal="center"/>
    </xf>
    <xf numFmtId="0" fontId="4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6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/>
    </xf>
    <xf numFmtId="164" fontId="0" fillId="2" borderId="1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5">
    <cellStyle name="Comma" xfId="2" builtinId="3"/>
    <cellStyle name="Normal" xfId="0" builtinId="0"/>
    <cellStyle name="Normal 2" xfId="3" xr:uid="{00000000-0005-0000-0000-000002000000}"/>
    <cellStyle name="Percent" xfId="1" builtinId="5"/>
    <cellStyle name="Percent 2" xfId="4" xr:uid="{00000000-0005-0000-0000-000004000000}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ffice%20Latest\Folders%20to%20Organise%20Work\Plan\Reqd%20Return,Retirement,Goal%20to%20Asset%20Be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achin.bobade\Downloads\Goal%20Planner%20Final%20to%20be%20merged%20with%20Final%20Pl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Sheet"/>
      <sheetName val="Input Details"/>
      <sheetName val="Required Return"/>
      <sheetName val="Asset Buffer"/>
      <sheetName val="Risk Taking Nature"/>
      <sheetName val="Expected Return"/>
      <sheetName val="Retirement Corpus"/>
      <sheetName val="Goals Achieved Sheet"/>
      <sheetName val="Important Ratios"/>
      <sheetName val="Goals to Assets Mapped 2"/>
      <sheetName val="Changes in Corpus"/>
      <sheetName val="Validation of Data"/>
      <sheetName val="Data Validation 2"/>
      <sheetName val="Calculations Check"/>
    </sheetNames>
    <sheetDataSet>
      <sheetData sheetId="0">
        <row r="17">
          <cell r="D17">
            <v>44646028</v>
          </cell>
          <cell r="E17">
            <v>437437</v>
          </cell>
        </row>
        <row r="18">
          <cell r="D18">
            <v>4490586</v>
          </cell>
          <cell r="E18">
            <v>731746</v>
          </cell>
        </row>
        <row r="19">
          <cell r="D19">
            <v>1231518</v>
          </cell>
          <cell r="E19">
            <v>359586</v>
          </cell>
        </row>
        <row r="20">
          <cell r="D20">
            <v>20000000</v>
          </cell>
          <cell r="E20">
            <v>0</v>
          </cell>
        </row>
        <row r="21">
          <cell r="D21">
            <v>0</v>
          </cell>
          <cell r="E21">
            <v>5000000</v>
          </cell>
        </row>
        <row r="26">
          <cell r="D26">
            <v>0</v>
          </cell>
          <cell r="E26">
            <v>0</v>
          </cell>
          <cell r="F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5">
          <cell r="D35">
            <v>20000</v>
          </cell>
          <cell r="E35">
            <v>0</v>
          </cell>
        </row>
        <row r="36">
          <cell r="D36">
            <v>100000</v>
          </cell>
          <cell r="E36">
            <v>0</v>
          </cell>
        </row>
        <row r="37">
          <cell r="D37">
            <v>0.08</v>
          </cell>
          <cell r="E37">
            <v>0.08</v>
          </cell>
        </row>
        <row r="43">
          <cell r="D43">
            <v>95000</v>
          </cell>
        </row>
        <row r="44">
          <cell r="D44">
            <v>59000</v>
          </cell>
        </row>
        <row r="46">
          <cell r="D46">
            <v>25000</v>
          </cell>
        </row>
        <row r="48">
          <cell r="D48">
            <v>7.0000000000000007E-2</v>
          </cell>
        </row>
        <row r="62">
          <cell r="D62">
            <v>10</v>
          </cell>
          <cell r="E62">
            <v>4000000</v>
          </cell>
        </row>
        <row r="63">
          <cell r="D63">
            <v>4</v>
          </cell>
          <cell r="E63">
            <v>2000000</v>
          </cell>
        </row>
        <row r="64">
          <cell r="D64">
            <v>8</v>
          </cell>
          <cell r="E64">
            <v>4000000</v>
          </cell>
        </row>
        <row r="65">
          <cell r="D65">
            <v>12</v>
          </cell>
          <cell r="E65">
            <v>1500000</v>
          </cell>
        </row>
        <row r="66">
          <cell r="D66">
            <v>14</v>
          </cell>
          <cell r="E66">
            <v>0</v>
          </cell>
        </row>
        <row r="67">
          <cell r="D67">
            <v>11</v>
          </cell>
          <cell r="E67">
            <v>2000000</v>
          </cell>
        </row>
        <row r="68">
          <cell r="D68">
            <v>15</v>
          </cell>
          <cell r="E68">
            <v>2000000</v>
          </cell>
        </row>
        <row r="69">
          <cell r="D69">
            <v>19</v>
          </cell>
          <cell r="E69">
            <v>3000000</v>
          </cell>
        </row>
        <row r="70">
          <cell r="D70">
            <v>0</v>
          </cell>
          <cell r="E70">
            <v>0</v>
          </cell>
        </row>
        <row r="71">
          <cell r="D71">
            <v>0</v>
          </cell>
          <cell r="E71">
            <v>0</v>
          </cell>
        </row>
        <row r="72">
          <cell r="D72">
            <v>44</v>
          </cell>
          <cell r="E72">
            <v>76896901</v>
          </cell>
        </row>
        <row r="78">
          <cell r="D78">
            <v>40</v>
          </cell>
        </row>
        <row r="79">
          <cell r="D79">
            <v>36</v>
          </cell>
        </row>
        <row r="80">
          <cell r="D80">
            <v>60</v>
          </cell>
        </row>
        <row r="81">
          <cell r="D81">
            <v>80</v>
          </cell>
        </row>
        <row r="82">
          <cell r="D82">
            <v>55</v>
          </cell>
        </row>
        <row r="83">
          <cell r="D83">
            <v>36</v>
          </cell>
        </row>
      </sheetData>
      <sheetData sheetId="1">
        <row r="27">
          <cell r="D27">
            <v>20000</v>
          </cell>
          <cell r="F27">
            <v>7</v>
          </cell>
        </row>
        <row r="28">
          <cell r="D28">
            <v>0</v>
          </cell>
        </row>
      </sheetData>
      <sheetData sheetId="2">
        <row r="6">
          <cell r="F6">
            <v>9.3346442441317512E-2</v>
          </cell>
        </row>
      </sheetData>
      <sheetData sheetId="3"/>
      <sheetData sheetId="4"/>
      <sheetData sheetId="5"/>
      <sheetData sheetId="6">
        <row r="3">
          <cell r="K3">
            <v>41871.96055729167</v>
          </cell>
        </row>
        <row r="17">
          <cell r="C17">
            <v>5</v>
          </cell>
          <cell r="H17">
            <v>15</v>
          </cell>
        </row>
        <row r="18">
          <cell r="C18">
            <v>24</v>
          </cell>
          <cell r="H18">
            <v>0</v>
          </cell>
        </row>
        <row r="24">
          <cell r="C24">
            <v>47350.71055729167</v>
          </cell>
        </row>
        <row r="25">
          <cell r="C25">
            <v>49176.96055729167</v>
          </cell>
        </row>
        <row r="26">
          <cell r="C26">
            <v>57942.96055729167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to Put Down Your Goals"/>
      <sheetName val="Asset Sheet"/>
      <sheetName val="Risk Taking Nature"/>
      <sheetName val="Goal Tracker"/>
      <sheetName val="Asset Class Returns"/>
      <sheetName val="Goal Sheet Input"/>
      <sheetName val="Goal Summary Sheet"/>
      <sheetName val="Solver Try"/>
      <sheetName val="Goal Suggested Portfolios"/>
      <sheetName val="Goal 1"/>
      <sheetName val="Goal 2"/>
      <sheetName val="Goal 3"/>
      <sheetName val="Goal 4"/>
      <sheetName val="Goal 5"/>
      <sheetName val="Goal 6"/>
      <sheetName val="Retirement"/>
      <sheetName val="Assumptions"/>
      <sheetName val="Assumptions 2"/>
      <sheetName val="Gold"/>
      <sheetName val="Goal Modifier Sheet"/>
      <sheetName val="Goal Affordability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">
          <cell r="C9">
            <v>7</v>
          </cell>
        </row>
      </sheetData>
      <sheetData sheetId="10">
        <row r="9">
          <cell r="C9">
            <v>10</v>
          </cell>
        </row>
      </sheetData>
      <sheetData sheetId="11">
        <row r="9">
          <cell r="C9">
            <v>15</v>
          </cell>
        </row>
      </sheetData>
      <sheetData sheetId="12">
        <row r="9">
          <cell r="C9">
            <v>12</v>
          </cell>
        </row>
      </sheetData>
      <sheetData sheetId="13">
        <row r="9">
          <cell r="C9">
            <v>20</v>
          </cell>
        </row>
      </sheetData>
      <sheetData sheetId="14">
        <row r="9">
          <cell r="C9">
            <v>18</v>
          </cell>
        </row>
      </sheetData>
      <sheetData sheetId="15">
        <row r="9">
          <cell r="C9">
            <v>25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workbookViewId="0">
      <selection activeCell="B10" sqref="B10"/>
    </sheetView>
  </sheetViews>
  <sheetFormatPr defaultRowHeight="15" x14ac:dyDescent="0.25"/>
  <cols>
    <col min="1" max="1" width="37.28515625" bestFit="1" customWidth="1"/>
    <col min="2" max="2" width="14.42578125" bestFit="1" customWidth="1"/>
    <col min="3" max="3" width="14.42578125" customWidth="1"/>
    <col min="4" max="4" width="13.7109375" bestFit="1" customWidth="1"/>
    <col min="5" max="5" width="14.28515625" bestFit="1" customWidth="1"/>
  </cols>
  <sheetData>
    <row r="1" spans="1:10" x14ac:dyDescent="0.25">
      <c r="A1" s="5" t="s">
        <v>3</v>
      </c>
      <c r="B1" s="19">
        <v>25000</v>
      </c>
    </row>
    <row r="2" spans="1:10" x14ac:dyDescent="0.25">
      <c r="A2" s="5" t="s">
        <v>6</v>
      </c>
      <c r="B2" s="38">
        <f>B1*12</f>
        <v>300000</v>
      </c>
    </row>
    <row r="3" spans="1:10" x14ac:dyDescent="0.25">
      <c r="A3" s="5" t="s">
        <v>4</v>
      </c>
      <c r="B3" s="20">
        <v>0.06</v>
      </c>
    </row>
    <row r="4" spans="1:10" s="2" customFormat="1" x14ac:dyDescent="0.25">
      <c r="A4" s="5" t="s">
        <v>39</v>
      </c>
      <c r="B4" s="20">
        <v>0</v>
      </c>
    </row>
    <row r="5" spans="1:10" x14ac:dyDescent="0.25">
      <c r="A5" s="5" t="s">
        <v>17</v>
      </c>
      <c r="B5" s="23">
        <f>B3*B4</f>
        <v>0</v>
      </c>
    </row>
    <row r="6" spans="1:10" x14ac:dyDescent="0.25">
      <c r="A6" s="5" t="s">
        <v>40</v>
      </c>
      <c r="B6" s="20">
        <v>7.0000000000000007E-2</v>
      </c>
    </row>
    <row r="7" spans="1:10" x14ac:dyDescent="0.25">
      <c r="A7" s="5" t="s">
        <v>8</v>
      </c>
      <c r="B7" s="20">
        <v>0.312</v>
      </c>
    </row>
    <row r="8" spans="1:10" x14ac:dyDescent="0.25">
      <c r="A8" s="5" t="s">
        <v>9</v>
      </c>
      <c r="B8" s="23">
        <f>B6*(1-B7)</f>
        <v>4.8160000000000001E-2</v>
      </c>
    </row>
    <row r="9" spans="1:10" s="2" customFormat="1" x14ac:dyDescent="0.25">
      <c r="A9" s="5" t="s">
        <v>41</v>
      </c>
      <c r="B9" s="20">
        <v>0.312</v>
      </c>
    </row>
    <row r="10" spans="1:10" x14ac:dyDescent="0.25">
      <c r="A10" s="5" t="s">
        <v>35</v>
      </c>
      <c r="B10" s="19">
        <v>20</v>
      </c>
      <c r="C10" t="s">
        <v>36</v>
      </c>
      <c r="D10" t="s">
        <v>37</v>
      </c>
    </row>
    <row r="12" spans="1:10" x14ac:dyDescent="0.25">
      <c r="A12" s="35"/>
      <c r="B12" s="35" t="s">
        <v>43</v>
      </c>
      <c r="C12" s="35" t="s">
        <v>44</v>
      </c>
      <c r="D12" s="35" t="s">
        <v>47</v>
      </c>
      <c r="E12" s="36">
        <f>'Debt Fund Solver'!O16</f>
        <v>-1.0130774906341816E-8</v>
      </c>
      <c r="F12" s="35" t="s">
        <v>46</v>
      </c>
      <c r="G12" s="35"/>
      <c r="H12" s="35"/>
      <c r="I12" s="35"/>
      <c r="J12" s="35"/>
    </row>
    <row r="13" spans="1:10" x14ac:dyDescent="0.25">
      <c r="A13" s="35" t="s">
        <v>45</v>
      </c>
      <c r="B13" s="37">
        <f>NPV('Fixed deposit'!D6,'Fixed deposit'!D14:D42)+'Fixed deposit'!D2</f>
        <v>6689683.0530785164</v>
      </c>
      <c r="C13" s="38">
        <v>6366911.0456543881</v>
      </c>
      <c r="D13" s="39">
        <f>B13-C13</f>
        <v>322772.00742412824</v>
      </c>
      <c r="E13" s="40">
        <f>D13/B13</f>
        <v>4.8249222700557128E-2</v>
      </c>
      <c r="F13" s="35"/>
      <c r="G13" s="35"/>
      <c r="H13" s="35"/>
      <c r="I13" s="35"/>
      <c r="J13" s="35"/>
    </row>
    <row r="14" spans="1:10" x14ac:dyDescent="0.25">
      <c r="A14" s="35" t="s">
        <v>27</v>
      </c>
      <c r="B14" s="37">
        <f>'Fixed deposit'!E43</f>
        <v>1970857.8838539887</v>
      </c>
      <c r="C14" s="37">
        <f>'Debt Fund Solver'!K46</f>
        <v>2117231.2360579502</v>
      </c>
      <c r="D14" s="39">
        <f>B14-C14</f>
        <v>-146373.35220396146</v>
      </c>
      <c r="E14" s="35"/>
      <c r="F14" s="35"/>
      <c r="G14" s="35"/>
      <c r="H14" s="35"/>
      <c r="I14" s="35"/>
      <c r="J14" s="35"/>
    </row>
    <row r="15" spans="1:10" s="44" customFormat="1" x14ac:dyDescent="0.25">
      <c r="B15" s="41"/>
      <c r="C15" s="41"/>
      <c r="D15" s="42"/>
    </row>
    <row r="16" spans="1:10" x14ac:dyDescent="0.25">
      <c r="A16" s="49" t="s">
        <v>60</v>
      </c>
      <c r="B16" s="46" t="s">
        <v>59</v>
      </c>
      <c r="C16" s="25"/>
    </row>
    <row r="17" spans="1:5" s="2" customFormat="1" x14ac:dyDescent="0.25"/>
    <row r="18" spans="1:5" s="2" customFormat="1" x14ac:dyDescent="0.25">
      <c r="A18" s="2" t="s">
        <v>48</v>
      </c>
      <c r="B18" s="2" t="s">
        <v>43</v>
      </c>
      <c r="C18" s="2" t="s">
        <v>44</v>
      </c>
      <c r="D18" s="2" t="s">
        <v>47</v>
      </c>
    </row>
    <row r="19" spans="1:5" s="2" customFormat="1" x14ac:dyDescent="0.25">
      <c r="A19" s="2" t="s">
        <v>55</v>
      </c>
      <c r="B19" s="31">
        <v>3102304.502503871</v>
      </c>
      <c r="C19" s="31">
        <v>3092777.2478004601</v>
      </c>
      <c r="D19" s="31">
        <v>9527.2547034109011</v>
      </c>
      <c r="E19" s="25">
        <v>3.0710250059984281E-3</v>
      </c>
    </row>
    <row r="20" spans="1:5" s="2" customFormat="1" x14ac:dyDescent="0.25">
      <c r="B20" s="31">
        <v>186766.60884269755</v>
      </c>
      <c r="C20" s="31">
        <v>191026.98757403484</v>
      </c>
      <c r="D20" s="31">
        <v>-4260.3787313372886</v>
      </c>
    </row>
    <row r="21" spans="1:5" s="2" customFormat="1" x14ac:dyDescent="0.25"/>
    <row r="22" spans="1:5" s="2" customFormat="1" x14ac:dyDescent="0.25">
      <c r="A22" s="2" t="s">
        <v>49</v>
      </c>
      <c r="B22" s="31">
        <v>3102304.502503871</v>
      </c>
      <c r="C22" s="31">
        <v>3025685.4733543452</v>
      </c>
      <c r="D22" s="31">
        <v>76619.029149525799</v>
      </c>
      <c r="E22" s="25">
        <v>2.4697456064576045E-2</v>
      </c>
    </row>
    <row r="23" spans="1:5" s="2" customFormat="1" x14ac:dyDescent="0.25">
      <c r="A23" s="2" t="s">
        <v>56</v>
      </c>
      <c r="B23" s="31">
        <v>186766.60884269755</v>
      </c>
      <c r="C23" s="31">
        <v>99741.501427750976</v>
      </c>
      <c r="D23" s="31">
        <v>87025.107414946571</v>
      </c>
    </row>
    <row r="24" spans="1:5" s="2" customFormat="1" x14ac:dyDescent="0.25"/>
    <row r="25" spans="1:5" s="2" customFormat="1" x14ac:dyDescent="0.25">
      <c r="A25" s="2" t="s">
        <v>52</v>
      </c>
      <c r="B25" s="41">
        <v>3102304.502503871</v>
      </c>
      <c r="C25" s="45">
        <v>3014002.4876388423</v>
      </c>
      <c r="D25" s="42">
        <v>88302.014865028672</v>
      </c>
      <c r="E25" s="43">
        <v>2.8463361605464612E-2</v>
      </c>
    </row>
    <row r="26" spans="1:5" s="2" customFormat="1" x14ac:dyDescent="0.25">
      <c r="A26" s="2" t="s">
        <v>56</v>
      </c>
      <c r="B26" s="41">
        <v>186766.60884269755</v>
      </c>
      <c r="C26" s="41">
        <v>83836.786951076967</v>
      </c>
      <c r="D26" s="42">
        <v>102929.82189162058</v>
      </c>
      <c r="E26" s="44"/>
    </row>
    <row r="27" spans="1:5" s="2" customFormat="1" x14ac:dyDescent="0.25"/>
    <row r="28" spans="1:5" s="2" customFormat="1" x14ac:dyDescent="0.25">
      <c r="A28" s="2" t="s">
        <v>48</v>
      </c>
      <c r="B28" s="2" t="s">
        <v>43</v>
      </c>
      <c r="C28" s="2" t="s">
        <v>44</v>
      </c>
      <c r="D28" s="2" t="s">
        <v>47</v>
      </c>
    </row>
    <row r="29" spans="1:5" s="2" customFormat="1" x14ac:dyDescent="0.25">
      <c r="A29" s="2" t="s">
        <v>57</v>
      </c>
      <c r="B29" s="31">
        <v>6473563.8096403349</v>
      </c>
      <c r="C29" s="31">
        <v>6359434.5711617563</v>
      </c>
      <c r="D29" s="31">
        <v>114129.23847857863</v>
      </c>
      <c r="E29" s="25">
        <v>1.7630047657616204E-2</v>
      </c>
    </row>
    <row r="30" spans="1:5" s="2" customFormat="1" x14ac:dyDescent="0.25">
      <c r="B30" s="31">
        <v>992007.90738179511</v>
      </c>
      <c r="C30" s="31">
        <v>1043043.9923164998</v>
      </c>
      <c r="D30" s="31">
        <v>-51036.084934704704</v>
      </c>
    </row>
    <row r="31" spans="1:5" s="2" customFormat="1" x14ac:dyDescent="0.25"/>
    <row r="32" spans="1:5" s="2" customFormat="1" x14ac:dyDescent="0.25">
      <c r="A32" s="2" t="s">
        <v>49</v>
      </c>
      <c r="B32" s="31">
        <v>6473563.8096403349</v>
      </c>
      <c r="C32" s="31">
        <v>6000977.8919541743</v>
      </c>
      <c r="D32" s="31">
        <v>472585.91768616065</v>
      </c>
      <c r="E32" s="25">
        <v>7.3002434452317091E-2</v>
      </c>
    </row>
    <row r="33" spans="1:5" s="2" customFormat="1" x14ac:dyDescent="0.25">
      <c r="A33" s="2" t="s">
        <v>58</v>
      </c>
      <c r="B33" s="31">
        <v>992007.90738179511</v>
      </c>
      <c r="C33" s="31">
        <v>405579.09865184932</v>
      </c>
      <c r="D33" s="31">
        <v>586428.8087299458</v>
      </c>
    </row>
    <row r="34" spans="1:5" s="2" customFormat="1" x14ac:dyDescent="0.25"/>
    <row r="35" spans="1:5" s="2" customFormat="1" x14ac:dyDescent="0.25">
      <c r="A35" s="2" t="s">
        <v>52</v>
      </c>
      <c r="B35" s="41">
        <v>6473563.8096403349</v>
      </c>
      <c r="C35" s="45">
        <v>5933009.9599041799</v>
      </c>
      <c r="D35" s="42">
        <v>540553.84973615501</v>
      </c>
      <c r="E35" s="43">
        <v>8.3501741178664254E-2</v>
      </c>
    </row>
    <row r="36" spans="1:5" s="2" customFormat="1" x14ac:dyDescent="0.25">
      <c r="A36" s="2" t="s">
        <v>58</v>
      </c>
      <c r="B36" s="41">
        <v>992007.90738179511</v>
      </c>
      <c r="C36" s="41">
        <v>283651.73469629954</v>
      </c>
      <c r="D36" s="42">
        <v>708356.17268549558</v>
      </c>
      <c r="E36" s="44"/>
    </row>
    <row r="37" spans="1:5" s="2" customFormat="1" x14ac:dyDescent="0.25">
      <c r="B37" s="41"/>
      <c r="C37" s="41"/>
      <c r="D37" s="42"/>
      <c r="E37" s="44"/>
    </row>
    <row r="38" spans="1:5" x14ac:dyDescent="0.25">
      <c r="A38" t="s">
        <v>48</v>
      </c>
      <c r="B38" t="s">
        <v>43</v>
      </c>
      <c r="C38" t="s">
        <v>44</v>
      </c>
      <c r="D38" t="s">
        <v>47</v>
      </c>
    </row>
    <row r="39" spans="1:5" x14ac:dyDescent="0.25">
      <c r="A39" t="s">
        <v>50</v>
      </c>
      <c r="B39" s="31">
        <v>14118236.642084522</v>
      </c>
      <c r="C39" s="31">
        <v>13072419.714887908</v>
      </c>
      <c r="D39" s="31">
        <v>1045816.9271966144</v>
      </c>
      <c r="E39" s="25">
        <v>7.4075605453387705E-2</v>
      </c>
    </row>
    <row r="40" spans="1:5" x14ac:dyDescent="0.25">
      <c r="B40" s="31">
        <v>5964881.4160154108</v>
      </c>
      <c r="C40" s="31">
        <v>6432547.7409123015</v>
      </c>
      <c r="D40" s="31">
        <v>-467666.32489689067</v>
      </c>
    </row>
    <row r="42" spans="1:5" x14ac:dyDescent="0.25">
      <c r="A42" t="s">
        <v>49</v>
      </c>
      <c r="B42" s="31">
        <v>14118236.642084522</v>
      </c>
      <c r="C42" s="31">
        <v>11848980.834450889</v>
      </c>
      <c r="D42" s="31">
        <v>2269255.8076336328</v>
      </c>
      <c r="E42" s="25">
        <v>0.16073224051715448</v>
      </c>
    </row>
    <row r="43" spans="1:5" x14ac:dyDescent="0.25">
      <c r="A43" t="s">
        <v>51</v>
      </c>
      <c r="B43" s="31">
        <v>5964881.4160154108</v>
      </c>
      <c r="C43" s="31">
        <v>2632384.5307944566</v>
      </c>
      <c r="D43" s="31">
        <v>3332496.8852209542</v>
      </c>
    </row>
    <row r="45" spans="1:5" x14ac:dyDescent="0.25">
      <c r="A45" s="2" t="s">
        <v>52</v>
      </c>
      <c r="B45" s="41">
        <v>14118236.642084522</v>
      </c>
      <c r="C45" s="45">
        <v>11567139.325440632</v>
      </c>
      <c r="D45" s="42">
        <v>2551097.31664389</v>
      </c>
      <c r="E45" s="43">
        <v>0.18069518037680568</v>
      </c>
    </row>
    <row r="46" spans="1:5" x14ac:dyDescent="0.25">
      <c r="A46" s="2" t="s">
        <v>51</v>
      </c>
      <c r="B46" s="41">
        <v>5964881.4160154108</v>
      </c>
      <c r="C46" s="41">
        <v>1710190.1743430232</v>
      </c>
      <c r="D46" s="42">
        <v>4254691.2416723873</v>
      </c>
      <c r="E46" s="44"/>
    </row>
    <row r="48" spans="1:5" x14ac:dyDescent="0.25">
      <c r="A48" s="2" t="s">
        <v>48</v>
      </c>
      <c r="B48" s="2" t="s">
        <v>43</v>
      </c>
      <c r="C48" s="2" t="s">
        <v>44</v>
      </c>
      <c r="D48" s="2" t="s">
        <v>47</v>
      </c>
      <c r="E48" s="2"/>
    </row>
    <row r="49" spans="1:5" x14ac:dyDescent="0.25">
      <c r="A49" s="2" t="s">
        <v>53</v>
      </c>
      <c r="B49" s="31">
        <v>23145879.596353501</v>
      </c>
      <c r="C49" s="31">
        <v>19635307.013439067</v>
      </c>
      <c r="D49" s="31">
        <v>3510572.5829144344</v>
      </c>
      <c r="E49" s="25">
        <v>0.15167159961669829</v>
      </c>
    </row>
    <row r="50" spans="1:5" x14ac:dyDescent="0.25">
      <c r="A50" s="2"/>
      <c r="B50" s="31">
        <v>20044327.851164229</v>
      </c>
      <c r="C50" s="31">
        <v>21614178.68780756</v>
      </c>
      <c r="D50" s="31">
        <v>-1569850.8366433308</v>
      </c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 t="s">
        <v>49</v>
      </c>
      <c r="B52" s="31">
        <v>23145879.596353501</v>
      </c>
      <c r="C52" s="31">
        <v>17498911.78592214</v>
      </c>
      <c r="D52" s="31">
        <v>5646967.8104313612</v>
      </c>
      <c r="E52" s="25">
        <v>0.24397291910742541</v>
      </c>
    </row>
    <row r="53" spans="1:5" x14ac:dyDescent="0.25">
      <c r="A53" s="2" t="s">
        <v>54</v>
      </c>
      <c r="B53" s="31">
        <v>20044327.851164229</v>
      </c>
      <c r="C53" s="31">
        <v>10089348.313005481</v>
      </c>
      <c r="D53" s="31">
        <v>9954979.5381587483</v>
      </c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 t="s">
        <v>52</v>
      </c>
      <c r="B55" s="41">
        <v>23145879.596353501</v>
      </c>
      <c r="C55" s="45">
        <v>16897332.94950553</v>
      </c>
      <c r="D55" s="42">
        <v>6248546.6468479708</v>
      </c>
      <c r="E55" s="43">
        <v>0.26996367197176613</v>
      </c>
    </row>
    <row r="56" spans="1:5" x14ac:dyDescent="0.25">
      <c r="A56" s="2" t="s">
        <v>54</v>
      </c>
      <c r="B56" s="41">
        <v>20044327.851164229</v>
      </c>
      <c r="C56" s="41">
        <v>6391910.5408856217</v>
      </c>
      <c r="D56" s="42">
        <v>13652417.310278608</v>
      </c>
      <c r="E56" s="4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workbookViewId="0">
      <selection activeCell="A10" sqref="A10:F11"/>
    </sheetView>
  </sheetViews>
  <sheetFormatPr defaultRowHeight="15" x14ac:dyDescent="0.25"/>
  <cols>
    <col min="2" max="2" width="12.42578125" customWidth="1"/>
    <col min="3" max="3" width="18.28515625" customWidth="1"/>
    <col min="4" max="4" width="16.85546875" customWidth="1"/>
    <col min="5" max="5" width="11" bestFit="1" customWidth="1"/>
    <col min="6" max="6" width="14.28515625" bestFit="1" customWidth="1"/>
    <col min="7" max="8" width="11.5703125" bestFit="1" customWidth="1"/>
    <col min="9" max="9" width="10" bestFit="1" customWidth="1"/>
    <col min="10" max="10" width="11.5703125" bestFit="1" customWidth="1"/>
    <col min="12" max="12" width="11.5703125" bestFit="1" customWidth="1"/>
  </cols>
  <sheetData>
    <row r="1" spans="1:12" x14ac:dyDescent="0.25">
      <c r="C1" s="5" t="s">
        <v>3</v>
      </c>
      <c r="D1" s="18">
        <f>Assumptions!B1</f>
        <v>25000</v>
      </c>
    </row>
    <row r="2" spans="1:12" x14ac:dyDescent="0.25">
      <c r="C2" s="5" t="s">
        <v>6</v>
      </c>
      <c r="D2" s="18">
        <f>Assumptions!B2</f>
        <v>300000</v>
      </c>
    </row>
    <row r="3" spans="1:12" x14ac:dyDescent="0.25">
      <c r="B3" s="3"/>
      <c r="C3" s="5" t="s">
        <v>4</v>
      </c>
      <c r="D3" s="21">
        <f>Assumptions!B3</f>
        <v>0.06</v>
      </c>
    </row>
    <row r="4" spans="1:12" x14ac:dyDescent="0.25">
      <c r="B4" s="3"/>
      <c r="C4" s="5" t="s">
        <v>7</v>
      </c>
      <c r="D4" s="21">
        <f>Assumptions!B6</f>
        <v>7.0000000000000007E-2</v>
      </c>
    </row>
    <row r="5" spans="1:12" x14ac:dyDescent="0.25">
      <c r="B5" s="3"/>
      <c r="C5" s="5" t="s">
        <v>8</v>
      </c>
      <c r="D5" s="21">
        <f>Assumptions!B7</f>
        <v>0.312</v>
      </c>
    </row>
    <row r="6" spans="1:12" x14ac:dyDescent="0.25">
      <c r="B6" s="3"/>
      <c r="C6" s="5" t="s">
        <v>9</v>
      </c>
      <c r="D6" s="21">
        <f>Assumptions!B8</f>
        <v>4.8160000000000001E-2</v>
      </c>
    </row>
    <row r="7" spans="1:12" x14ac:dyDescent="0.25">
      <c r="B7" s="3"/>
      <c r="C7" s="5" t="s">
        <v>10</v>
      </c>
      <c r="D7" s="18">
        <f>NPV(D6,D14:D42)+D2</f>
        <v>6689683.0530785164</v>
      </c>
    </row>
    <row r="8" spans="1:12" x14ac:dyDescent="0.25">
      <c r="B8" s="2"/>
      <c r="C8" s="5" t="s">
        <v>35</v>
      </c>
      <c r="D8" s="18">
        <f>Assumptions!B10</f>
        <v>20</v>
      </c>
    </row>
    <row r="10" spans="1:12" s="2" customFormat="1" x14ac:dyDescent="0.25">
      <c r="A10" s="50" t="s">
        <v>28</v>
      </c>
      <c r="B10" s="50"/>
      <c r="C10" s="50"/>
      <c r="D10" s="50"/>
      <c r="E10" s="50"/>
      <c r="F10" s="50"/>
    </row>
    <row r="11" spans="1:12" s="2" customFormat="1" x14ac:dyDescent="0.25">
      <c r="A11" s="51"/>
      <c r="B11" s="51"/>
      <c r="C11" s="51"/>
      <c r="D11" s="51"/>
      <c r="E11" s="51"/>
      <c r="F11" s="51"/>
    </row>
    <row r="12" spans="1:12" ht="15" customHeight="1" x14ac:dyDescent="0.25">
      <c r="A12" s="53" t="s">
        <v>31</v>
      </c>
      <c r="B12" s="53" t="s">
        <v>0</v>
      </c>
      <c r="C12" s="53" t="s">
        <v>20</v>
      </c>
      <c r="D12" s="53" t="s">
        <v>11</v>
      </c>
      <c r="E12" s="53" t="s">
        <v>1</v>
      </c>
      <c r="F12" s="53" t="s">
        <v>19</v>
      </c>
    </row>
    <row r="13" spans="1:12" ht="15" customHeight="1" x14ac:dyDescent="0.25">
      <c r="A13" s="53"/>
      <c r="B13" s="53"/>
      <c r="C13" s="53"/>
      <c r="D13" s="53"/>
      <c r="E13" s="53"/>
      <c r="F13" s="53"/>
    </row>
    <row r="14" spans="1:12" x14ac:dyDescent="0.25">
      <c r="A14" s="5">
        <v>1</v>
      </c>
      <c r="B14" s="6">
        <f>D7-D2</f>
        <v>6389683.0530785164</v>
      </c>
      <c r="C14" s="6">
        <f t="shared" ref="C14:C42" si="0">B14*$D$4</f>
        <v>447277.81371549622</v>
      </c>
      <c r="D14" s="7">
        <f>$D$2*(1+$D$3)^A14</f>
        <v>318000</v>
      </c>
      <c r="E14" s="8">
        <f t="shared" ref="E14:E42" si="1">C14*$D$5</f>
        <v>139550.67787923481</v>
      </c>
      <c r="F14" s="7">
        <f>B14+C14-D14-E14</f>
        <v>6379410.1889147777</v>
      </c>
      <c r="G14" s="33"/>
      <c r="H14" s="32"/>
      <c r="I14" s="32"/>
      <c r="J14" s="32"/>
      <c r="L14" s="32"/>
    </row>
    <row r="15" spans="1:12" x14ac:dyDescent="0.25">
      <c r="A15" s="9">
        <f>A14+1</f>
        <v>2</v>
      </c>
      <c r="B15" s="10">
        <f t="shared" ref="B15:B42" si="2">IF($D$8&lt;=A15,0,F14)</f>
        <v>6379410.1889147777</v>
      </c>
      <c r="C15" s="12">
        <f t="shared" si="0"/>
        <v>446558.71322403447</v>
      </c>
      <c r="D15" s="10">
        <f t="shared" ref="D15:D42" si="3">IF($D$8&lt;=A15,0,$D$2*(1+$D$3)^A15)</f>
        <v>337080.00000000006</v>
      </c>
      <c r="E15" s="11">
        <f t="shared" si="1"/>
        <v>139326.31852589877</v>
      </c>
      <c r="F15" s="10">
        <f t="shared" ref="F15:F41" si="4">B15+C15-D15-E15</f>
        <v>6349562.5836129133</v>
      </c>
      <c r="G15" s="32"/>
      <c r="H15" s="32"/>
      <c r="I15" s="32"/>
      <c r="J15" s="32"/>
      <c r="L15" s="32"/>
    </row>
    <row r="16" spans="1:12" x14ac:dyDescent="0.25">
      <c r="A16" s="5">
        <f t="shared" ref="A16:A38" si="5">A15+1</f>
        <v>3</v>
      </c>
      <c r="B16" s="10">
        <f t="shared" si="2"/>
        <v>6349562.5836129133</v>
      </c>
      <c r="C16" s="6">
        <f t="shared" si="0"/>
        <v>444469.380852904</v>
      </c>
      <c r="D16" s="10">
        <f t="shared" si="3"/>
        <v>357304.8000000001</v>
      </c>
      <c r="E16" s="8">
        <f t="shared" si="1"/>
        <v>138674.44682610605</v>
      </c>
      <c r="F16" s="7">
        <f t="shared" si="4"/>
        <v>6298052.7176397117</v>
      </c>
    </row>
    <row r="17" spans="1:7" x14ac:dyDescent="0.25">
      <c r="A17" s="9">
        <f t="shared" si="5"/>
        <v>4</v>
      </c>
      <c r="B17" s="10">
        <f t="shared" si="2"/>
        <v>6298052.7176397117</v>
      </c>
      <c r="C17" s="12">
        <f t="shared" si="0"/>
        <v>440863.69023477985</v>
      </c>
      <c r="D17" s="10">
        <f t="shared" si="3"/>
        <v>378743.08800000011</v>
      </c>
      <c r="E17" s="11">
        <f t="shared" si="1"/>
        <v>137549.47135325131</v>
      </c>
      <c r="F17" s="10">
        <f t="shared" si="4"/>
        <v>6222623.8485212391</v>
      </c>
    </row>
    <row r="18" spans="1:7" x14ac:dyDescent="0.25">
      <c r="A18" s="5">
        <f t="shared" si="5"/>
        <v>5</v>
      </c>
      <c r="B18" s="10">
        <f t="shared" si="2"/>
        <v>6222623.8485212391</v>
      </c>
      <c r="C18" s="6">
        <f t="shared" si="0"/>
        <v>435583.66939648677</v>
      </c>
      <c r="D18" s="10">
        <f t="shared" si="3"/>
        <v>401467.67328000016</v>
      </c>
      <c r="E18" s="8">
        <f t="shared" si="1"/>
        <v>135902.10485170389</v>
      </c>
      <c r="F18" s="7">
        <f t="shared" si="4"/>
        <v>6120837.7397860223</v>
      </c>
    </row>
    <row r="19" spans="1:7" x14ac:dyDescent="0.25">
      <c r="A19" s="9">
        <f t="shared" si="5"/>
        <v>6</v>
      </c>
      <c r="B19" s="10">
        <f t="shared" si="2"/>
        <v>6120837.7397860223</v>
      </c>
      <c r="C19" s="12">
        <f t="shared" si="0"/>
        <v>428458.64178502158</v>
      </c>
      <c r="D19" s="10">
        <f t="shared" si="3"/>
        <v>425555.73367680016</v>
      </c>
      <c r="E19" s="11">
        <f t="shared" si="1"/>
        <v>133679.09623692674</v>
      </c>
      <c r="F19" s="10">
        <f t="shared" si="4"/>
        <v>5990061.5516573172</v>
      </c>
    </row>
    <row r="20" spans="1:7" x14ac:dyDescent="0.25">
      <c r="A20" s="5">
        <f t="shared" si="5"/>
        <v>7</v>
      </c>
      <c r="B20" s="10">
        <f t="shared" si="2"/>
        <v>5990061.5516573172</v>
      </c>
      <c r="C20" s="6">
        <f t="shared" si="0"/>
        <v>419304.30861601222</v>
      </c>
      <c r="D20" s="10">
        <f t="shared" si="3"/>
        <v>451089.07769740827</v>
      </c>
      <c r="E20" s="8">
        <f t="shared" si="1"/>
        <v>130822.94428819581</v>
      </c>
      <c r="F20" s="7">
        <f t="shared" si="4"/>
        <v>5827453.8382877251</v>
      </c>
    </row>
    <row r="21" spans="1:7" x14ac:dyDescent="0.25">
      <c r="A21" s="9">
        <f t="shared" si="5"/>
        <v>8</v>
      </c>
      <c r="B21" s="10">
        <f t="shared" si="2"/>
        <v>5827453.8382877251</v>
      </c>
      <c r="C21" s="12">
        <f t="shared" si="0"/>
        <v>407921.76868014078</v>
      </c>
      <c r="D21" s="10">
        <f t="shared" si="3"/>
        <v>478154.4223592527</v>
      </c>
      <c r="E21" s="11">
        <f t="shared" si="1"/>
        <v>127271.59182820392</v>
      </c>
      <c r="F21" s="10">
        <f t="shared" si="4"/>
        <v>5629949.5927804094</v>
      </c>
    </row>
    <row r="22" spans="1:7" x14ac:dyDescent="0.25">
      <c r="A22" s="5">
        <f t="shared" si="5"/>
        <v>9</v>
      </c>
      <c r="B22" s="10">
        <f t="shared" si="2"/>
        <v>5629949.5927804094</v>
      </c>
      <c r="C22" s="6">
        <f t="shared" si="0"/>
        <v>394096.4714946287</v>
      </c>
      <c r="D22" s="10">
        <f t="shared" si="3"/>
        <v>506843.68770080787</v>
      </c>
      <c r="E22" s="8">
        <f t="shared" si="1"/>
        <v>122958.09910632415</v>
      </c>
      <c r="F22" s="7">
        <f t="shared" si="4"/>
        <v>5394244.2774679065</v>
      </c>
    </row>
    <row r="23" spans="1:7" x14ac:dyDescent="0.25">
      <c r="A23" s="9">
        <f t="shared" si="5"/>
        <v>10</v>
      </c>
      <c r="B23" s="10">
        <f t="shared" si="2"/>
        <v>5394244.2774679065</v>
      </c>
      <c r="C23" s="12">
        <f t="shared" si="0"/>
        <v>377597.0994227535</v>
      </c>
      <c r="D23" s="10">
        <f t="shared" si="3"/>
        <v>537254.30896285642</v>
      </c>
      <c r="E23" s="11">
        <f t="shared" si="1"/>
        <v>117810.29501989909</v>
      </c>
      <c r="F23" s="10">
        <f t="shared" si="4"/>
        <v>5116776.7729079043</v>
      </c>
      <c r="G23" s="3"/>
    </row>
    <row r="24" spans="1:7" x14ac:dyDescent="0.25">
      <c r="A24" s="5">
        <f t="shared" si="5"/>
        <v>11</v>
      </c>
      <c r="B24" s="10">
        <f t="shared" si="2"/>
        <v>5116776.7729079043</v>
      </c>
      <c r="C24" s="6">
        <f t="shared" si="0"/>
        <v>358174.37410355336</v>
      </c>
      <c r="D24" s="10">
        <f t="shared" si="3"/>
        <v>569489.56750062783</v>
      </c>
      <c r="E24" s="8">
        <f t="shared" si="1"/>
        <v>111750.40472030865</v>
      </c>
      <c r="F24" s="7">
        <f t="shared" si="4"/>
        <v>4793711.1747905221</v>
      </c>
    </row>
    <row r="25" spans="1:7" x14ac:dyDescent="0.25">
      <c r="A25" s="9">
        <f t="shared" si="5"/>
        <v>12</v>
      </c>
      <c r="B25" s="10">
        <f t="shared" si="2"/>
        <v>4793711.1747905221</v>
      </c>
      <c r="C25" s="12">
        <f t="shared" si="0"/>
        <v>335559.78223533661</v>
      </c>
      <c r="D25" s="10">
        <f t="shared" si="3"/>
        <v>603658.94155066554</v>
      </c>
      <c r="E25" s="11">
        <f t="shared" si="1"/>
        <v>104694.65205742502</v>
      </c>
      <c r="F25" s="10">
        <f t="shared" si="4"/>
        <v>4420917.3634177679</v>
      </c>
    </row>
    <row r="26" spans="1:7" x14ac:dyDescent="0.25">
      <c r="A26" s="5">
        <f t="shared" si="5"/>
        <v>13</v>
      </c>
      <c r="B26" s="10">
        <f t="shared" si="2"/>
        <v>4420917.3634177679</v>
      </c>
      <c r="C26" s="6">
        <f t="shared" si="0"/>
        <v>309464.21543924377</v>
      </c>
      <c r="D26" s="10">
        <f t="shared" si="3"/>
        <v>639878.47804370557</v>
      </c>
      <c r="E26" s="8">
        <f t="shared" si="1"/>
        <v>96552.835217044048</v>
      </c>
      <c r="F26" s="7">
        <f t="shared" si="4"/>
        <v>3993950.2655962622</v>
      </c>
    </row>
    <row r="27" spans="1:7" x14ac:dyDescent="0.25">
      <c r="A27" s="9">
        <f t="shared" si="5"/>
        <v>14</v>
      </c>
      <c r="B27" s="10">
        <f t="shared" si="2"/>
        <v>3993950.2655962622</v>
      </c>
      <c r="C27" s="12">
        <f t="shared" si="0"/>
        <v>279576.51859173836</v>
      </c>
      <c r="D27" s="10">
        <f t="shared" si="3"/>
        <v>678271.18672632787</v>
      </c>
      <c r="E27" s="11">
        <f t="shared" si="1"/>
        <v>87227.873800622372</v>
      </c>
      <c r="F27" s="10">
        <f t="shared" si="4"/>
        <v>3508027.7236610502</v>
      </c>
    </row>
    <row r="28" spans="1:7" x14ac:dyDescent="0.25">
      <c r="A28" s="5">
        <f t="shared" si="5"/>
        <v>15</v>
      </c>
      <c r="B28" s="10">
        <f t="shared" si="2"/>
        <v>3508027.7236610502</v>
      </c>
      <c r="C28" s="6">
        <f t="shared" si="0"/>
        <v>245561.94065627354</v>
      </c>
      <c r="D28" s="10">
        <f t="shared" si="3"/>
        <v>718967.45792990772</v>
      </c>
      <c r="E28" s="8">
        <f t="shared" si="1"/>
        <v>76615.325484757341</v>
      </c>
      <c r="F28" s="7">
        <f t="shared" si="4"/>
        <v>2958006.8809026587</v>
      </c>
    </row>
    <row r="29" spans="1:7" x14ac:dyDescent="0.25">
      <c r="A29" s="9">
        <f t="shared" si="5"/>
        <v>16</v>
      </c>
      <c r="B29" s="10">
        <f t="shared" si="2"/>
        <v>2958006.8809026587</v>
      </c>
      <c r="C29" s="12">
        <f t="shared" si="0"/>
        <v>207060.48166318613</v>
      </c>
      <c r="D29" s="10">
        <f t="shared" si="3"/>
        <v>762105.50540570205</v>
      </c>
      <c r="E29" s="11">
        <f t="shared" si="1"/>
        <v>64602.870278914073</v>
      </c>
      <c r="F29" s="10">
        <f t="shared" si="4"/>
        <v>2338358.9868812286</v>
      </c>
    </row>
    <row r="30" spans="1:7" x14ac:dyDescent="0.25">
      <c r="A30" s="5">
        <f t="shared" si="5"/>
        <v>17</v>
      </c>
      <c r="B30" s="10">
        <f t="shared" si="2"/>
        <v>2338358.9868812286</v>
      </c>
      <c r="C30" s="6">
        <f t="shared" si="0"/>
        <v>163685.12908168603</v>
      </c>
      <c r="D30" s="10">
        <f t="shared" si="3"/>
        <v>807831.83573004417</v>
      </c>
      <c r="E30" s="8">
        <f t="shared" si="1"/>
        <v>51069.760273486041</v>
      </c>
      <c r="F30" s="7">
        <f t="shared" si="4"/>
        <v>1643142.5199593843</v>
      </c>
    </row>
    <row r="31" spans="1:7" x14ac:dyDescent="0.25">
      <c r="A31" s="9">
        <f t="shared" si="5"/>
        <v>18</v>
      </c>
      <c r="B31" s="10">
        <f t="shared" si="2"/>
        <v>1643142.5199593843</v>
      </c>
      <c r="C31" s="12">
        <f t="shared" si="0"/>
        <v>115019.97639715692</v>
      </c>
      <c r="D31" s="10">
        <f t="shared" si="3"/>
        <v>856301.74587384681</v>
      </c>
      <c r="E31" s="11">
        <f t="shared" si="1"/>
        <v>35886.232635912958</v>
      </c>
      <c r="F31" s="10">
        <f t="shared" si="4"/>
        <v>865974.51784678153</v>
      </c>
    </row>
    <row r="32" spans="1:7" x14ac:dyDescent="0.25">
      <c r="A32" s="5">
        <f t="shared" si="5"/>
        <v>19</v>
      </c>
      <c r="B32" s="10">
        <f t="shared" si="2"/>
        <v>865974.51784678153</v>
      </c>
      <c r="C32" s="6">
        <f t="shared" si="0"/>
        <v>60618.216249274716</v>
      </c>
      <c r="D32" s="10">
        <f t="shared" si="3"/>
        <v>907679.85062627774</v>
      </c>
      <c r="E32" s="8">
        <f t="shared" si="1"/>
        <v>18912.883469773711</v>
      </c>
      <c r="F32" s="7">
        <f t="shared" si="4"/>
        <v>4.7512003220617771E-9</v>
      </c>
    </row>
    <row r="33" spans="1:7" x14ac:dyDescent="0.25">
      <c r="A33" s="9">
        <f t="shared" si="5"/>
        <v>20</v>
      </c>
      <c r="B33" s="10">
        <f t="shared" si="2"/>
        <v>0</v>
      </c>
      <c r="C33" s="12">
        <f t="shared" si="0"/>
        <v>0</v>
      </c>
      <c r="D33" s="10">
        <f t="shared" si="3"/>
        <v>0</v>
      </c>
      <c r="E33" s="11">
        <f t="shared" si="1"/>
        <v>0</v>
      </c>
      <c r="F33" s="10">
        <f t="shared" si="4"/>
        <v>0</v>
      </c>
      <c r="G33" s="3"/>
    </row>
    <row r="34" spans="1:7" x14ac:dyDescent="0.25">
      <c r="A34" s="5">
        <f t="shared" si="5"/>
        <v>21</v>
      </c>
      <c r="B34" s="10">
        <f t="shared" si="2"/>
        <v>0</v>
      </c>
      <c r="C34" s="6">
        <f t="shared" si="0"/>
        <v>0</v>
      </c>
      <c r="D34" s="10">
        <f t="shared" si="3"/>
        <v>0</v>
      </c>
      <c r="E34" s="8">
        <f t="shared" si="1"/>
        <v>0</v>
      </c>
      <c r="F34" s="7">
        <f t="shared" si="4"/>
        <v>0</v>
      </c>
    </row>
    <row r="35" spans="1:7" x14ac:dyDescent="0.25">
      <c r="A35" s="9">
        <f t="shared" si="5"/>
        <v>22</v>
      </c>
      <c r="B35" s="10">
        <f t="shared" si="2"/>
        <v>0</v>
      </c>
      <c r="C35" s="12">
        <f t="shared" si="0"/>
        <v>0</v>
      </c>
      <c r="D35" s="10">
        <f t="shared" si="3"/>
        <v>0</v>
      </c>
      <c r="E35" s="11">
        <f t="shared" si="1"/>
        <v>0</v>
      </c>
      <c r="F35" s="10">
        <f t="shared" si="4"/>
        <v>0</v>
      </c>
    </row>
    <row r="36" spans="1:7" x14ac:dyDescent="0.25">
      <c r="A36" s="5">
        <f t="shared" si="5"/>
        <v>23</v>
      </c>
      <c r="B36" s="10">
        <f t="shared" si="2"/>
        <v>0</v>
      </c>
      <c r="C36" s="6">
        <f t="shared" si="0"/>
        <v>0</v>
      </c>
      <c r="D36" s="10">
        <f t="shared" si="3"/>
        <v>0</v>
      </c>
      <c r="E36" s="8">
        <f t="shared" si="1"/>
        <v>0</v>
      </c>
      <c r="F36" s="7">
        <f t="shared" si="4"/>
        <v>0</v>
      </c>
    </row>
    <row r="37" spans="1:7" x14ac:dyDescent="0.25">
      <c r="A37" s="9">
        <f t="shared" si="5"/>
        <v>24</v>
      </c>
      <c r="B37" s="10">
        <f t="shared" si="2"/>
        <v>0</v>
      </c>
      <c r="C37" s="12">
        <f t="shared" si="0"/>
        <v>0</v>
      </c>
      <c r="D37" s="10">
        <f t="shared" si="3"/>
        <v>0</v>
      </c>
      <c r="E37" s="11">
        <f t="shared" si="1"/>
        <v>0</v>
      </c>
      <c r="F37" s="10">
        <f t="shared" si="4"/>
        <v>0</v>
      </c>
    </row>
    <row r="38" spans="1:7" x14ac:dyDescent="0.25">
      <c r="A38" s="5">
        <f t="shared" si="5"/>
        <v>25</v>
      </c>
      <c r="B38" s="10">
        <f t="shared" si="2"/>
        <v>0</v>
      </c>
      <c r="C38" s="6">
        <f t="shared" si="0"/>
        <v>0</v>
      </c>
      <c r="D38" s="10">
        <f t="shared" si="3"/>
        <v>0</v>
      </c>
      <c r="E38" s="8">
        <f t="shared" si="1"/>
        <v>0</v>
      </c>
      <c r="F38" s="7">
        <f t="shared" si="4"/>
        <v>0</v>
      </c>
    </row>
    <row r="39" spans="1:7" x14ac:dyDescent="0.25">
      <c r="A39" s="9">
        <f>A38+1</f>
        <v>26</v>
      </c>
      <c r="B39" s="10">
        <f t="shared" si="2"/>
        <v>0</v>
      </c>
      <c r="C39" s="12">
        <f t="shared" si="0"/>
        <v>0</v>
      </c>
      <c r="D39" s="10">
        <f t="shared" si="3"/>
        <v>0</v>
      </c>
      <c r="E39" s="11">
        <f t="shared" si="1"/>
        <v>0</v>
      </c>
      <c r="F39" s="10">
        <f t="shared" si="4"/>
        <v>0</v>
      </c>
    </row>
    <row r="40" spans="1:7" x14ac:dyDescent="0.25">
      <c r="A40" s="5">
        <f t="shared" ref="A40:A42" si="6">A39+1</f>
        <v>27</v>
      </c>
      <c r="B40" s="10">
        <f t="shared" si="2"/>
        <v>0</v>
      </c>
      <c r="C40" s="6">
        <f t="shared" si="0"/>
        <v>0</v>
      </c>
      <c r="D40" s="10">
        <f t="shared" si="3"/>
        <v>0</v>
      </c>
      <c r="E40" s="8">
        <f t="shared" si="1"/>
        <v>0</v>
      </c>
      <c r="F40" s="7">
        <f t="shared" si="4"/>
        <v>0</v>
      </c>
    </row>
    <row r="41" spans="1:7" x14ac:dyDescent="0.25">
      <c r="A41" s="9">
        <f t="shared" si="6"/>
        <v>28</v>
      </c>
      <c r="B41" s="10">
        <f t="shared" si="2"/>
        <v>0</v>
      </c>
      <c r="C41" s="12">
        <f t="shared" si="0"/>
        <v>0</v>
      </c>
      <c r="D41" s="10">
        <f t="shared" si="3"/>
        <v>0</v>
      </c>
      <c r="E41" s="11">
        <f t="shared" si="1"/>
        <v>0</v>
      </c>
      <c r="F41" s="10">
        <f t="shared" si="4"/>
        <v>0</v>
      </c>
    </row>
    <row r="42" spans="1:7" x14ac:dyDescent="0.25">
      <c r="A42" s="5">
        <f t="shared" si="6"/>
        <v>29</v>
      </c>
      <c r="B42" s="10">
        <f t="shared" si="2"/>
        <v>0</v>
      </c>
      <c r="C42" s="6">
        <f t="shared" si="0"/>
        <v>0</v>
      </c>
      <c r="D42" s="10">
        <f t="shared" si="3"/>
        <v>0</v>
      </c>
      <c r="E42" s="8">
        <f t="shared" si="1"/>
        <v>0</v>
      </c>
      <c r="F42" s="7">
        <f>-(B42+C42-D42-E42)</f>
        <v>0</v>
      </c>
    </row>
    <row r="43" spans="1:7" x14ac:dyDescent="0.25">
      <c r="C43" s="52" t="s">
        <v>29</v>
      </c>
      <c r="D43" s="52"/>
      <c r="E43" s="8">
        <f>SUM(E14:E42)</f>
        <v>1970857.8838539887</v>
      </c>
    </row>
  </sheetData>
  <sheetProtection algorithmName="SHA-512" hashValue="iv+59SiaGamvBOpVsMRlktxcRmMsRMW4hG8aYqBpHaT8L4jzUCqeufStgPMKFOHZYBN74teogTYQEcuUaVulkg==" saltValue="gn3cyektr7pJ74vxNVmKZA==" spinCount="100000" sheet="1" objects="1" scenarios="1"/>
  <mergeCells count="8">
    <mergeCell ref="A10:F11"/>
    <mergeCell ref="C43:D43"/>
    <mergeCell ref="F12:F13"/>
    <mergeCell ref="E12:E13"/>
    <mergeCell ref="A12:A13"/>
    <mergeCell ref="B12:B13"/>
    <mergeCell ref="C12:C13"/>
    <mergeCell ref="D12:D13"/>
  </mergeCells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7"/>
  <sheetViews>
    <sheetView tabSelected="1" workbookViewId="0">
      <selection activeCell="L17" sqref="L17"/>
    </sheetView>
  </sheetViews>
  <sheetFormatPr defaultRowHeight="15" x14ac:dyDescent="0.25"/>
  <cols>
    <col min="1" max="1" width="14.7109375" customWidth="1"/>
    <col min="2" max="2" width="14.7109375" bestFit="1" customWidth="1"/>
    <col min="3" max="3" width="9.5703125" bestFit="1" customWidth="1"/>
    <col min="4" max="4" width="27.5703125" customWidth="1"/>
    <col min="5" max="5" width="13.7109375" bestFit="1" customWidth="1"/>
    <col min="6" max="6" width="9.5703125" bestFit="1" customWidth="1"/>
    <col min="7" max="7" width="6.42578125" style="27" bestFit="1" customWidth="1"/>
    <col min="8" max="8" width="13.5703125" customWidth="1"/>
    <col min="9" max="9" width="13.7109375" bestFit="1" customWidth="1"/>
    <col min="10" max="10" width="11.5703125" bestFit="1" customWidth="1"/>
    <col min="11" max="11" width="15.140625" customWidth="1"/>
    <col min="12" max="13" width="13.7109375" bestFit="1" customWidth="1"/>
    <col min="14" max="14" width="14.7109375" bestFit="1" customWidth="1"/>
    <col min="15" max="15" width="12" style="27" bestFit="1" customWidth="1"/>
    <col min="18" max="18" width="12.7109375" bestFit="1" customWidth="1"/>
  </cols>
  <sheetData>
    <row r="1" spans="1:18" x14ac:dyDescent="0.25">
      <c r="D1" s="5" t="s">
        <v>26</v>
      </c>
      <c r="E1" s="5"/>
    </row>
    <row r="2" spans="1:18" x14ac:dyDescent="0.25">
      <c r="D2" s="5" t="s">
        <v>3</v>
      </c>
      <c r="E2" s="18">
        <f>Assumptions!B1</f>
        <v>25000</v>
      </c>
    </row>
    <row r="3" spans="1:18" x14ac:dyDescent="0.25">
      <c r="D3" s="5" t="s">
        <v>6</v>
      </c>
      <c r="E3" s="18">
        <f>Assumptions!B2</f>
        <v>300000</v>
      </c>
    </row>
    <row r="4" spans="1:18" x14ac:dyDescent="0.25">
      <c r="D4" s="5" t="s">
        <v>4</v>
      </c>
      <c r="E4" s="21">
        <f>Assumptions!B3</f>
        <v>0.06</v>
      </c>
      <c r="J4" s="33"/>
      <c r="K4" s="32"/>
      <c r="R4" s="27"/>
    </row>
    <row r="5" spans="1:18" x14ac:dyDescent="0.25">
      <c r="D5" s="5" t="s">
        <v>21</v>
      </c>
      <c r="E5" s="21">
        <f>Assumptions!B5</f>
        <v>0</v>
      </c>
      <c r="J5" s="33"/>
      <c r="K5" s="32"/>
      <c r="M5" s="2"/>
      <c r="N5" s="2"/>
      <c r="P5" s="2"/>
      <c r="Q5" s="2"/>
      <c r="R5" s="27"/>
    </row>
    <row r="6" spans="1:18" x14ac:dyDescent="0.25">
      <c r="D6" s="5" t="s">
        <v>42</v>
      </c>
      <c r="E6" s="21">
        <f>Assumptions!B6</f>
        <v>7.0000000000000007E-2</v>
      </c>
    </row>
    <row r="7" spans="1:18" x14ac:dyDescent="0.25">
      <c r="D7" s="5" t="s">
        <v>33</v>
      </c>
      <c r="E7" s="21">
        <f>Assumptions!B7</f>
        <v>0.312</v>
      </c>
    </row>
    <row r="8" spans="1:18" x14ac:dyDescent="0.25">
      <c r="A8" s="2"/>
      <c r="D8" s="5" t="s">
        <v>9</v>
      </c>
      <c r="E8" s="21">
        <f>Assumptions!B8</f>
        <v>4.8160000000000001E-2</v>
      </c>
    </row>
    <row r="9" spans="1:18" s="2" customFormat="1" x14ac:dyDescent="0.25">
      <c r="D9" s="5" t="s">
        <v>34</v>
      </c>
      <c r="E9" s="21">
        <f>Assumptions!B9</f>
        <v>0.312</v>
      </c>
      <c r="G9" s="27"/>
      <c r="O9" s="27"/>
    </row>
    <row r="10" spans="1:18" x14ac:dyDescent="0.25">
      <c r="D10" s="5" t="s">
        <v>10</v>
      </c>
      <c r="E10" s="7">
        <f>Assumptions!C13</f>
        <v>6366911.0456543881</v>
      </c>
      <c r="H10" s="47"/>
      <c r="I10" s="2"/>
    </row>
    <row r="11" spans="1:18" x14ac:dyDescent="0.25">
      <c r="D11" s="5" t="s">
        <v>2</v>
      </c>
      <c r="E11" s="22">
        <f>10</f>
        <v>10</v>
      </c>
      <c r="H11" s="24"/>
    </row>
    <row r="12" spans="1:18" x14ac:dyDescent="0.25">
      <c r="D12" s="5" t="s">
        <v>12</v>
      </c>
      <c r="E12" s="18">
        <f>(E10-E3)/E11</f>
        <v>606691.10456543881</v>
      </c>
      <c r="H12" s="25"/>
      <c r="J12" s="27"/>
    </row>
    <row r="13" spans="1:18" s="4" customFormat="1" x14ac:dyDescent="0.25">
      <c r="B13" s="26"/>
      <c r="C13" s="26"/>
      <c r="D13" s="26" t="s">
        <v>38</v>
      </c>
      <c r="E13" s="18">
        <f>Assumptions!B10</f>
        <v>20</v>
      </c>
      <c r="F13" s="26"/>
      <c r="G13" s="26"/>
      <c r="H13" s="29"/>
      <c r="I13" s="30"/>
      <c r="J13" s="48"/>
      <c r="K13" s="26"/>
      <c r="L13" s="48"/>
      <c r="M13" s="26"/>
      <c r="N13" s="26"/>
      <c r="O13" s="34"/>
    </row>
    <row r="14" spans="1:18" s="4" customFormat="1" x14ac:dyDescent="0.25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34"/>
    </row>
    <row r="15" spans="1:18" s="4" customFormat="1" x14ac:dyDescent="0.25">
      <c r="B15" s="57" t="s">
        <v>32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34"/>
    </row>
    <row r="16" spans="1:18" ht="48.75" customHeight="1" x14ac:dyDescent="0.25">
      <c r="A16" s="13" t="s">
        <v>5</v>
      </c>
      <c r="B16" s="13" t="s">
        <v>0</v>
      </c>
      <c r="C16" s="13" t="s">
        <v>14</v>
      </c>
      <c r="D16" s="13" t="s">
        <v>13</v>
      </c>
      <c r="E16" s="13" t="s">
        <v>11</v>
      </c>
      <c r="F16" s="13" t="s">
        <v>16</v>
      </c>
      <c r="G16" s="28" t="s">
        <v>1</v>
      </c>
      <c r="H16" s="13" t="s">
        <v>15</v>
      </c>
      <c r="I16" s="13" t="s">
        <v>25</v>
      </c>
      <c r="J16" s="13" t="s">
        <v>22</v>
      </c>
      <c r="K16" s="13" t="s">
        <v>23</v>
      </c>
      <c r="L16" s="13" t="s">
        <v>24</v>
      </c>
      <c r="M16" s="13" t="s">
        <v>18</v>
      </c>
      <c r="N16" s="13" t="s">
        <v>19</v>
      </c>
      <c r="O16" s="27">
        <f>SUM(O17:O45)</f>
        <v>-1.0130774906341816E-8</v>
      </c>
    </row>
    <row r="17" spans="1:15" x14ac:dyDescent="0.25">
      <c r="A17" s="14">
        <v>1</v>
      </c>
      <c r="B17" s="7">
        <f>E10-E3</f>
        <v>6066911.0456543881</v>
      </c>
      <c r="C17" s="16">
        <f>E11*(1+E6)^(A17-1)</f>
        <v>10</v>
      </c>
      <c r="D17" s="7">
        <f>B17/C17</f>
        <v>606691.10456543881</v>
      </c>
      <c r="E17" s="7">
        <f>$E$3*(1+$E$4)^A17</f>
        <v>318000</v>
      </c>
      <c r="F17" s="16">
        <f t="shared" ref="F17:F45" si="0">$E$11*(1+$E$6)^A17</f>
        <v>10.700000000000001</v>
      </c>
      <c r="G17" s="16">
        <f>(F17-$E$11)*$E$7</f>
        <v>0.21840000000000034</v>
      </c>
      <c r="H17" s="7">
        <f>E17/(F17-G17)</f>
        <v>30338.879560372461</v>
      </c>
      <c r="I17" s="7">
        <f>H17*F17</f>
        <v>324626.01129598537</v>
      </c>
      <c r="J17" s="7">
        <f>H17*(F17-$C$17)*$E$7</f>
        <v>6626.011295985355</v>
      </c>
      <c r="K17" s="7"/>
      <c r="L17" s="7">
        <f>I17-(J17+K17)</f>
        <v>318000</v>
      </c>
      <c r="M17" s="7">
        <f>D17-H17</f>
        <v>576352.22500506637</v>
      </c>
      <c r="N17" s="7">
        <f>M17*F17</f>
        <v>6166968.8075542105</v>
      </c>
      <c r="O17" s="27">
        <f>IF($E$13-1=A17,N17,0)</f>
        <v>0</v>
      </c>
    </row>
    <row r="18" spans="1:15" x14ac:dyDescent="0.25">
      <c r="A18" s="15">
        <f>A17+1</f>
        <v>2</v>
      </c>
      <c r="B18" s="10">
        <f>IF($E$13&lt;=A18,0,N17)</f>
        <v>6166968.8075542105</v>
      </c>
      <c r="C18" s="17">
        <f>F17</f>
        <v>10.700000000000001</v>
      </c>
      <c r="D18" s="10">
        <f>IF($E$13&lt;=A18,0,M17)</f>
        <v>576352.22500506637</v>
      </c>
      <c r="E18" s="10">
        <f t="shared" ref="E18:E45" si="1">IF($E$13&lt;=A18,0,$E$3*(1+$E$4)^A18)</f>
        <v>337080.00000000006</v>
      </c>
      <c r="F18" s="17">
        <f t="shared" si="0"/>
        <v>11.449</v>
      </c>
      <c r="G18" s="17">
        <f>(F18-$E$11)*$E$7</f>
        <v>0.45208799999999993</v>
      </c>
      <c r="H18" s="10">
        <f>IF($E$13&lt;=A18,0,E18/(F18-G18))</f>
        <v>30652.241283734929</v>
      </c>
      <c r="I18" s="10">
        <f>IF($E$13&lt;=A18,0,H18*F18)</f>
        <v>350937.5104574812</v>
      </c>
      <c r="J18" s="10">
        <f>H18*(F18-$C$17)*$E$7</f>
        <v>13857.510457481154</v>
      </c>
      <c r="K18" s="10"/>
      <c r="L18" s="10">
        <f>I18-(J18+K18)</f>
        <v>337080.00000000006</v>
      </c>
      <c r="M18" s="10">
        <f>D18-H18</f>
        <v>545699.98372133146</v>
      </c>
      <c r="N18" s="10">
        <f>M18*F18</f>
        <v>6247719.1136255236</v>
      </c>
      <c r="O18" s="27">
        <f t="shared" ref="O18:O45" si="2">IF($E$13-1=A18,N18,0)</f>
        <v>0</v>
      </c>
    </row>
    <row r="19" spans="1:15" x14ac:dyDescent="0.25">
      <c r="A19" s="14">
        <f t="shared" ref="A19:A45" si="3">A18+1</f>
        <v>3</v>
      </c>
      <c r="B19" s="10">
        <f t="shared" ref="B19:B45" si="4">IF($E$13&lt;=A19,0,N18)</f>
        <v>6247719.1136255236</v>
      </c>
      <c r="C19" s="16">
        <f t="shared" ref="C19:C45" si="5">F18</f>
        <v>11.449</v>
      </c>
      <c r="D19" s="10">
        <f t="shared" ref="D19:D45" si="6">IF($E$13&lt;=A19,0,M18)</f>
        <v>545699.98372133146</v>
      </c>
      <c r="E19" s="10">
        <f t="shared" si="1"/>
        <v>357304.8000000001</v>
      </c>
      <c r="F19" s="16">
        <f t="shared" si="0"/>
        <v>12.250430000000001</v>
      </c>
      <c r="G19" s="16">
        <f t="shared" ref="G19:G45" si="7">(F19-($E$11*((1+$E$5)^A19)))*$E$9</f>
        <v>0.70213416000000051</v>
      </c>
      <c r="H19" s="10">
        <f t="shared" ref="H19:H45" si="8">IF($E$13&lt;=A19,0,E19/(F19-G19))</f>
        <v>30940.045609361532</v>
      </c>
      <c r="I19" s="10">
        <f t="shared" ref="I19:I45" si="9">IF($E$13&lt;=A19,0,H19*F19)</f>
        <v>379028.86293429084</v>
      </c>
      <c r="J19" s="7"/>
      <c r="K19" s="7">
        <f>G19*H19</f>
        <v>21724.062934290763</v>
      </c>
      <c r="L19" s="7">
        <f>I19-(J19+K19)</f>
        <v>357304.80000000005</v>
      </c>
      <c r="M19" s="7">
        <f>D19-H19</f>
        <v>514759.93811196991</v>
      </c>
      <c r="N19" s="7">
        <f>M19*F19</f>
        <v>6306030.5886450205</v>
      </c>
      <c r="O19" s="27">
        <f t="shared" si="2"/>
        <v>0</v>
      </c>
    </row>
    <row r="20" spans="1:15" x14ac:dyDescent="0.25">
      <c r="A20" s="15">
        <f t="shared" si="3"/>
        <v>4</v>
      </c>
      <c r="B20" s="10">
        <f t="shared" si="4"/>
        <v>6306030.5886450205</v>
      </c>
      <c r="C20" s="17">
        <f t="shared" si="5"/>
        <v>12.250430000000001</v>
      </c>
      <c r="D20" s="10">
        <f t="shared" si="6"/>
        <v>514759.93811196991</v>
      </c>
      <c r="E20" s="10">
        <f t="shared" si="1"/>
        <v>378743.08800000011</v>
      </c>
      <c r="F20" s="17">
        <f t="shared" si="0"/>
        <v>13.1079601</v>
      </c>
      <c r="G20" s="16">
        <f t="shared" si="7"/>
        <v>0.96968355119999994</v>
      </c>
      <c r="H20" s="10">
        <f t="shared" si="8"/>
        <v>31202.377576200714</v>
      </c>
      <c r="I20" s="10">
        <f t="shared" si="9"/>
        <v>408999.52029397368</v>
      </c>
      <c r="J20" s="10"/>
      <c r="K20" s="10">
        <f>G20*H20</f>
        <v>30256.432293973554</v>
      </c>
      <c r="L20" s="10">
        <f>I20-(J20+K20)</f>
        <v>378743.08800000011</v>
      </c>
      <c r="M20" s="10">
        <f>D20-H20</f>
        <v>483557.56053576921</v>
      </c>
      <c r="N20" s="10">
        <f>M20*F20</f>
        <v>6338453.2095561977</v>
      </c>
      <c r="O20" s="27">
        <f t="shared" si="2"/>
        <v>0</v>
      </c>
    </row>
    <row r="21" spans="1:15" x14ac:dyDescent="0.25">
      <c r="A21" s="14">
        <f t="shared" si="3"/>
        <v>5</v>
      </c>
      <c r="B21" s="10">
        <f t="shared" si="4"/>
        <v>6338453.2095561977</v>
      </c>
      <c r="C21" s="16">
        <f t="shared" si="5"/>
        <v>13.1079601</v>
      </c>
      <c r="D21" s="10">
        <f t="shared" si="6"/>
        <v>483557.56053576921</v>
      </c>
      <c r="E21" s="10">
        <f t="shared" si="1"/>
        <v>401467.67328000016</v>
      </c>
      <c r="F21" s="16">
        <f t="shared" si="0"/>
        <v>14.025517307000001</v>
      </c>
      <c r="G21" s="16">
        <f t="shared" si="7"/>
        <v>1.2559613997840005</v>
      </c>
      <c r="H21" s="10">
        <f t="shared" si="8"/>
        <v>31439.438943458728</v>
      </c>
      <c r="I21" s="10">
        <f t="shared" si="9"/>
        <v>440954.3950238502</v>
      </c>
      <c r="J21" s="7"/>
      <c r="K21" s="7">
        <f t="shared" ref="K21:K45" si="10">G21*H21</f>
        <v>39486.721743850037</v>
      </c>
      <c r="L21" s="7">
        <f t="shared" ref="L21:L45" si="11">I21-(J21+K21)</f>
        <v>401467.67328000016</v>
      </c>
      <c r="M21" s="7">
        <f t="shared" ref="M21:M45" si="12">D21-H21</f>
        <v>452118.12159231049</v>
      </c>
      <c r="N21" s="7">
        <f t="shared" ref="N21:N45" si="13">M21*F21</f>
        <v>6341190.539201282</v>
      </c>
      <c r="O21" s="27">
        <f t="shared" si="2"/>
        <v>0</v>
      </c>
    </row>
    <row r="22" spans="1:15" x14ac:dyDescent="0.25">
      <c r="A22" s="15">
        <f t="shared" si="3"/>
        <v>6</v>
      </c>
      <c r="B22" s="10">
        <f t="shared" si="4"/>
        <v>6341190.539201282</v>
      </c>
      <c r="C22" s="17">
        <f t="shared" si="5"/>
        <v>14.025517307000001</v>
      </c>
      <c r="D22" s="10">
        <f t="shared" si="6"/>
        <v>452118.12159231049</v>
      </c>
      <c r="E22" s="10">
        <f t="shared" si="1"/>
        <v>425555.73367680016</v>
      </c>
      <c r="F22" s="17">
        <f t="shared" si="0"/>
        <v>15.007303518490001</v>
      </c>
      <c r="G22" s="16">
        <f t="shared" si="7"/>
        <v>1.5622786977688805</v>
      </c>
      <c r="H22" s="10">
        <f t="shared" si="8"/>
        <v>31651.539461715591</v>
      </c>
      <c r="I22" s="10">
        <f t="shared" si="9"/>
        <v>475004.25952942949</v>
      </c>
      <c r="J22" s="10"/>
      <c r="K22" s="10">
        <f t="shared" si="10"/>
        <v>49448.525852629369</v>
      </c>
      <c r="L22" s="10">
        <f t="shared" si="11"/>
        <v>425555.7336768001</v>
      </c>
      <c r="M22" s="10">
        <f t="shared" si="12"/>
        <v>420466.58213059488</v>
      </c>
      <c r="N22" s="10">
        <f t="shared" si="13"/>
        <v>6310069.6174159413</v>
      </c>
      <c r="O22" s="27">
        <f t="shared" si="2"/>
        <v>0</v>
      </c>
    </row>
    <row r="23" spans="1:15" x14ac:dyDescent="0.25">
      <c r="A23" s="14">
        <f t="shared" si="3"/>
        <v>7</v>
      </c>
      <c r="B23" s="10">
        <f t="shared" si="4"/>
        <v>6310069.6174159413</v>
      </c>
      <c r="C23" s="16">
        <f t="shared" si="5"/>
        <v>15.007303518490001</v>
      </c>
      <c r="D23" s="10">
        <f t="shared" si="6"/>
        <v>420466.58213059488</v>
      </c>
      <c r="E23" s="10">
        <f t="shared" si="1"/>
        <v>451089.07769740827</v>
      </c>
      <c r="F23" s="16">
        <f t="shared" si="0"/>
        <v>16.0578147647843</v>
      </c>
      <c r="G23" s="16">
        <f t="shared" si="7"/>
        <v>1.8900382066127017</v>
      </c>
      <c r="H23" s="10">
        <f t="shared" si="8"/>
        <v>31839.087512799037</v>
      </c>
      <c r="I23" s="10">
        <f t="shared" si="9"/>
        <v>511266.16956028383</v>
      </c>
      <c r="J23" s="7"/>
      <c r="K23" s="7">
        <f t="shared" si="10"/>
        <v>60177.091862875553</v>
      </c>
      <c r="L23" s="7">
        <f t="shared" si="11"/>
        <v>451089.07769740827</v>
      </c>
      <c r="M23" s="7">
        <f t="shared" si="12"/>
        <v>388627.49461779586</v>
      </c>
      <c r="N23" s="7">
        <f t="shared" si="13"/>
        <v>6240508.3210747736</v>
      </c>
      <c r="O23" s="27">
        <f t="shared" si="2"/>
        <v>0</v>
      </c>
    </row>
    <row r="24" spans="1:15" x14ac:dyDescent="0.25">
      <c r="A24" s="15">
        <f t="shared" si="3"/>
        <v>8</v>
      </c>
      <c r="B24" s="10">
        <f t="shared" si="4"/>
        <v>6240508.3210747736</v>
      </c>
      <c r="C24" s="17">
        <f t="shared" si="5"/>
        <v>16.0578147647843</v>
      </c>
      <c r="D24" s="10">
        <f t="shared" si="6"/>
        <v>388627.49461779586</v>
      </c>
      <c r="E24" s="10">
        <f t="shared" si="1"/>
        <v>478154.4223592527</v>
      </c>
      <c r="F24" s="17">
        <f t="shared" si="0"/>
        <v>17.181861798319204</v>
      </c>
      <c r="G24" s="16">
        <f t="shared" si="7"/>
        <v>2.2407408810755918</v>
      </c>
      <c r="H24" s="10">
        <f t="shared" si="8"/>
        <v>32002.580328990753</v>
      </c>
      <c r="I24" s="10">
        <f t="shared" si="9"/>
        <v>549863.91240232787</v>
      </c>
      <c r="J24" s="10"/>
      <c r="K24" s="10">
        <f t="shared" si="10"/>
        <v>71709.490043075144</v>
      </c>
      <c r="L24" s="10">
        <f t="shared" si="11"/>
        <v>478154.4223592527</v>
      </c>
      <c r="M24" s="10">
        <f t="shared" si="12"/>
        <v>356624.9142888051</v>
      </c>
      <c r="N24" s="10">
        <f t="shared" si="13"/>
        <v>6127479.9911476811</v>
      </c>
      <c r="O24" s="27">
        <f t="shared" si="2"/>
        <v>0</v>
      </c>
    </row>
    <row r="25" spans="1:15" x14ac:dyDescent="0.25">
      <c r="A25" s="14">
        <f t="shared" si="3"/>
        <v>9</v>
      </c>
      <c r="B25" s="10">
        <f t="shared" si="4"/>
        <v>6127479.9911476811</v>
      </c>
      <c r="C25" s="16">
        <f t="shared" si="5"/>
        <v>17.181861798319204</v>
      </c>
      <c r="D25" s="10">
        <f t="shared" si="6"/>
        <v>356624.9142888051</v>
      </c>
      <c r="E25" s="10">
        <f t="shared" si="1"/>
        <v>506843.68770080787</v>
      </c>
      <c r="F25" s="16">
        <f t="shared" si="0"/>
        <v>18.38459212420155</v>
      </c>
      <c r="G25" s="16">
        <f t="shared" si="7"/>
        <v>2.6159927427508838</v>
      </c>
      <c r="H25" s="10">
        <f t="shared" si="8"/>
        <v>32142.593989484671</v>
      </c>
      <c r="I25" s="10">
        <f t="shared" si="9"/>
        <v>590928.48031048791</v>
      </c>
      <c r="J25" s="7"/>
      <c r="K25" s="7">
        <f t="shared" si="10"/>
        <v>84084.79260968008</v>
      </c>
      <c r="L25" s="7">
        <f t="shared" si="11"/>
        <v>506843.68770080782</v>
      </c>
      <c r="M25" s="7">
        <f t="shared" si="12"/>
        <v>324482.32029932045</v>
      </c>
      <c r="N25" s="7">
        <f t="shared" si="13"/>
        <v>5965475.1102175312</v>
      </c>
      <c r="O25" s="27">
        <f t="shared" si="2"/>
        <v>0</v>
      </c>
    </row>
    <row r="26" spans="1:15" x14ac:dyDescent="0.25">
      <c r="A26" s="15">
        <f t="shared" si="3"/>
        <v>10</v>
      </c>
      <c r="B26" s="10">
        <f t="shared" si="4"/>
        <v>5965475.1102175312</v>
      </c>
      <c r="C26" s="17">
        <f t="shared" si="5"/>
        <v>18.38459212420155</v>
      </c>
      <c r="D26" s="10">
        <f t="shared" si="6"/>
        <v>324482.32029932045</v>
      </c>
      <c r="E26" s="10">
        <f t="shared" si="1"/>
        <v>537254.30896285642</v>
      </c>
      <c r="F26" s="17">
        <f t="shared" si="0"/>
        <v>19.671513572895655</v>
      </c>
      <c r="G26" s="16">
        <f t="shared" si="7"/>
        <v>3.0175122347434447</v>
      </c>
      <c r="H26" s="10">
        <f t="shared" si="8"/>
        <v>32259.773375427489</v>
      </c>
      <c r="I26" s="10">
        <f t="shared" si="9"/>
        <v>634598.56981325976</v>
      </c>
      <c r="J26" s="10"/>
      <c r="K26" s="10">
        <f t="shared" si="10"/>
        <v>97344.260850403283</v>
      </c>
      <c r="L26" s="10">
        <f t="shared" si="11"/>
        <v>537254.30896285642</v>
      </c>
      <c r="M26" s="10">
        <f t="shared" si="12"/>
        <v>292222.54692389298</v>
      </c>
      <c r="N26" s="10">
        <f t="shared" si="13"/>
        <v>5748459.7981194984</v>
      </c>
      <c r="O26" s="27">
        <f t="shared" si="2"/>
        <v>0</v>
      </c>
    </row>
    <row r="27" spans="1:15" x14ac:dyDescent="0.25">
      <c r="A27" s="14">
        <f t="shared" si="3"/>
        <v>11</v>
      </c>
      <c r="B27" s="10">
        <f t="shared" si="4"/>
        <v>5748459.7981194984</v>
      </c>
      <c r="C27" s="16">
        <f t="shared" si="5"/>
        <v>19.671513572895655</v>
      </c>
      <c r="D27" s="10">
        <f t="shared" si="6"/>
        <v>292222.54692389298</v>
      </c>
      <c r="E27" s="10">
        <f t="shared" si="1"/>
        <v>569489.56750062783</v>
      </c>
      <c r="F27" s="16">
        <f t="shared" si="0"/>
        <v>21.048519522998355</v>
      </c>
      <c r="G27" s="16">
        <f t="shared" si="7"/>
        <v>3.4471380911754865</v>
      </c>
      <c r="H27" s="10">
        <f t="shared" si="8"/>
        <v>32354.822245429245</v>
      </c>
      <c r="I27" s="10">
        <f t="shared" si="9"/>
        <v>681021.10769605893</v>
      </c>
      <c r="J27" s="7"/>
      <c r="K27" s="7">
        <f t="shared" si="10"/>
        <v>111531.54019543114</v>
      </c>
      <c r="L27" s="7">
        <f t="shared" si="11"/>
        <v>569489.56750062783</v>
      </c>
      <c r="M27" s="7">
        <f t="shared" si="12"/>
        <v>259867.72467846374</v>
      </c>
      <c r="N27" s="7">
        <f t="shared" si="13"/>
        <v>5469830.8762918049</v>
      </c>
      <c r="O27" s="27">
        <f t="shared" si="2"/>
        <v>0</v>
      </c>
    </row>
    <row r="28" spans="1:15" x14ac:dyDescent="0.25">
      <c r="A28" s="15">
        <f t="shared" si="3"/>
        <v>12</v>
      </c>
      <c r="B28" s="10">
        <f t="shared" si="4"/>
        <v>5469830.8762918049</v>
      </c>
      <c r="C28" s="17">
        <f t="shared" si="5"/>
        <v>21.048519522998355</v>
      </c>
      <c r="D28" s="10">
        <f t="shared" si="6"/>
        <v>259867.72467846374</v>
      </c>
      <c r="E28" s="10">
        <f t="shared" si="1"/>
        <v>603658.94155066554</v>
      </c>
      <c r="F28" s="17">
        <f t="shared" si="0"/>
        <v>22.521915889608234</v>
      </c>
      <c r="G28" s="16">
        <f t="shared" si="7"/>
        <v>3.9068377575577689</v>
      </c>
      <c r="H28" s="10">
        <f t="shared" si="8"/>
        <v>32428.49357217133</v>
      </c>
      <c r="I28" s="10">
        <f t="shared" si="9"/>
        <v>730351.80465914391</v>
      </c>
      <c r="J28" s="10"/>
      <c r="K28" s="10">
        <f t="shared" si="10"/>
        <v>126692.86310847836</v>
      </c>
      <c r="L28" s="10">
        <f t="shared" si="11"/>
        <v>603658.94155066554</v>
      </c>
      <c r="M28" s="10">
        <f t="shared" si="12"/>
        <v>227439.2311062924</v>
      </c>
      <c r="N28" s="10">
        <f t="shared" si="13"/>
        <v>5122367.2329730857</v>
      </c>
      <c r="O28" s="27">
        <f t="shared" si="2"/>
        <v>0</v>
      </c>
    </row>
    <row r="29" spans="1:15" x14ac:dyDescent="0.25">
      <c r="A29" s="14">
        <f t="shared" si="3"/>
        <v>13</v>
      </c>
      <c r="B29" s="10">
        <f t="shared" si="4"/>
        <v>5122367.2329730857</v>
      </c>
      <c r="C29" s="16">
        <f t="shared" si="5"/>
        <v>22.521915889608234</v>
      </c>
      <c r="D29" s="10">
        <f t="shared" si="6"/>
        <v>227439.2311062924</v>
      </c>
      <c r="E29" s="10">
        <f t="shared" si="1"/>
        <v>639878.47804370557</v>
      </c>
      <c r="F29" s="16">
        <f t="shared" si="0"/>
        <v>24.098450001880813</v>
      </c>
      <c r="G29" s="16">
        <f t="shared" si="7"/>
        <v>4.3987164005868138</v>
      </c>
      <c r="H29" s="10">
        <f t="shared" si="8"/>
        <v>32481.580258611946</v>
      </c>
      <c r="I29" s="10">
        <f t="shared" si="9"/>
        <v>782755.73784423887</v>
      </c>
      <c r="J29" s="7"/>
      <c r="K29" s="7">
        <f t="shared" si="10"/>
        <v>142877.25980053324</v>
      </c>
      <c r="L29" s="7">
        <f t="shared" si="11"/>
        <v>639878.47804370569</v>
      </c>
      <c r="M29" s="7">
        <f t="shared" si="12"/>
        <v>194957.65084768046</v>
      </c>
      <c r="N29" s="7">
        <f t="shared" si="13"/>
        <v>4698177.2014369639</v>
      </c>
      <c r="O29" s="27">
        <f t="shared" si="2"/>
        <v>0</v>
      </c>
    </row>
    <row r="30" spans="1:15" x14ac:dyDescent="0.25">
      <c r="A30" s="15">
        <f t="shared" si="3"/>
        <v>14</v>
      </c>
      <c r="B30" s="10">
        <f t="shared" si="4"/>
        <v>4698177.2014369639</v>
      </c>
      <c r="C30" s="17">
        <f t="shared" si="5"/>
        <v>24.098450001880813</v>
      </c>
      <c r="D30" s="10">
        <f t="shared" si="6"/>
        <v>194957.65084768046</v>
      </c>
      <c r="E30" s="10">
        <f t="shared" si="1"/>
        <v>678271.18672632787</v>
      </c>
      <c r="F30" s="17">
        <f t="shared" si="0"/>
        <v>25.785341502012468</v>
      </c>
      <c r="G30" s="16">
        <f t="shared" si="7"/>
        <v>4.9250265486278897</v>
      </c>
      <c r="H30" s="10">
        <f t="shared" si="8"/>
        <v>32514.906330130871</v>
      </c>
      <c r="I30" s="10">
        <f t="shared" si="9"/>
        <v>838407.96362837148</v>
      </c>
      <c r="J30" s="10"/>
      <c r="K30" s="10">
        <f t="shared" si="10"/>
        <v>160136.77690204355</v>
      </c>
      <c r="L30" s="10">
        <f t="shared" si="11"/>
        <v>678271.18672632799</v>
      </c>
      <c r="M30" s="10">
        <f t="shared" si="12"/>
        <v>162442.74451754958</v>
      </c>
      <c r="N30" s="10">
        <f t="shared" si="13"/>
        <v>4188641.6419091793</v>
      </c>
      <c r="O30" s="27">
        <f t="shared" si="2"/>
        <v>0</v>
      </c>
    </row>
    <row r="31" spans="1:15" x14ac:dyDescent="0.25">
      <c r="A31" s="14">
        <f t="shared" si="3"/>
        <v>15</v>
      </c>
      <c r="B31" s="10">
        <f t="shared" si="4"/>
        <v>4188641.6419091793</v>
      </c>
      <c r="C31" s="16">
        <f t="shared" si="5"/>
        <v>25.785341502012468</v>
      </c>
      <c r="D31" s="10">
        <f t="shared" si="6"/>
        <v>162442.74451754958</v>
      </c>
      <c r="E31" s="10">
        <f t="shared" si="1"/>
        <v>718967.45792990772</v>
      </c>
      <c r="F31" s="16">
        <f t="shared" si="0"/>
        <v>27.590315407153344</v>
      </c>
      <c r="G31" s="16">
        <f t="shared" si="7"/>
        <v>5.4881784070318433</v>
      </c>
      <c r="H31" s="10">
        <f t="shared" si="8"/>
        <v>32529.31867746342</v>
      </c>
      <c r="I31" s="10">
        <f t="shared" si="9"/>
        <v>897494.16229102004</v>
      </c>
      <c r="J31" s="7"/>
      <c r="K31" s="7">
        <f t="shared" si="10"/>
        <v>178526.70436111238</v>
      </c>
      <c r="L31" s="7">
        <f t="shared" si="11"/>
        <v>718967.4579299076</v>
      </c>
      <c r="M31" s="7">
        <f t="shared" si="12"/>
        <v>129913.42584008616</v>
      </c>
      <c r="N31" s="7">
        <f t="shared" si="13"/>
        <v>3584352.3945518024</v>
      </c>
      <c r="O31" s="27">
        <f t="shared" si="2"/>
        <v>0</v>
      </c>
    </row>
    <row r="32" spans="1:15" x14ac:dyDescent="0.25">
      <c r="A32" s="15">
        <f t="shared" si="3"/>
        <v>16</v>
      </c>
      <c r="B32" s="10">
        <f t="shared" si="4"/>
        <v>3584352.3945518024</v>
      </c>
      <c r="C32" s="17">
        <f t="shared" si="5"/>
        <v>27.590315407153344</v>
      </c>
      <c r="D32" s="10">
        <f t="shared" si="6"/>
        <v>129913.42584008616</v>
      </c>
      <c r="E32" s="10">
        <f t="shared" si="1"/>
        <v>762105.50540570205</v>
      </c>
      <c r="F32" s="17">
        <f t="shared" si="0"/>
        <v>29.521637485654075</v>
      </c>
      <c r="G32" s="16">
        <f t="shared" si="7"/>
        <v>6.0907508955240717</v>
      </c>
      <c r="H32" s="10">
        <f t="shared" si="8"/>
        <v>32525.679405009385</v>
      </c>
      <c r="I32" s="10">
        <f t="shared" si="9"/>
        <v>960211.31636929174</v>
      </c>
      <c r="J32" s="10"/>
      <c r="K32" s="10">
        <f t="shared" si="10"/>
        <v>198105.81096358976</v>
      </c>
      <c r="L32" s="10">
        <f t="shared" si="11"/>
        <v>762105.50540570193</v>
      </c>
      <c r="M32" s="10">
        <f t="shared" si="12"/>
        <v>97387.74643507677</v>
      </c>
      <c r="N32" s="10">
        <f t="shared" si="13"/>
        <v>2875045.7458011364</v>
      </c>
      <c r="O32" s="27">
        <f t="shared" si="2"/>
        <v>0</v>
      </c>
    </row>
    <row r="33" spans="1:15" x14ac:dyDescent="0.25">
      <c r="A33" s="14">
        <f t="shared" si="3"/>
        <v>17</v>
      </c>
      <c r="B33" s="10">
        <f t="shared" si="4"/>
        <v>2875045.7458011364</v>
      </c>
      <c r="C33" s="16">
        <f t="shared" si="5"/>
        <v>29.521637485654075</v>
      </c>
      <c r="D33" s="10">
        <f t="shared" si="6"/>
        <v>97387.74643507677</v>
      </c>
      <c r="E33" s="10">
        <f t="shared" si="1"/>
        <v>807831.83573004417</v>
      </c>
      <c r="F33" s="16">
        <f t="shared" si="0"/>
        <v>31.588152109649862</v>
      </c>
      <c r="G33" s="16">
        <f t="shared" si="7"/>
        <v>6.7355034582107569</v>
      </c>
      <c r="H33" s="10">
        <f t="shared" si="8"/>
        <v>32504.858820480942</v>
      </c>
      <c r="I33" s="10">
        <f t="shared" si="9"/>
        <v>1026768.424724046</v>
      </c>
      <c r="J33" s="7"/>
      <c r="K33" s="7">
        <f t="shared" si="10"/>
        <v>218936.58899400182</v>
      </c>
      <c r="L33" s="7">
        <f t="shared" si="11"/>
        <v>807831.83573004417</v>
      </c>
      <c r="M33" s="7">
        <f t="shared" si="12"/>
        <v>64882.887614595827</v>
      </c>
      <c r="N33" s="7">
        <f t="shared" si="13"/>
        <v>2049530.5232831701</v>
      </c>
      <c r="O33" s="27">
        <f t="shared" si="2"/>
        <v>0</v>
      </c>
    </row>
    <row r="34" spans="1:15" x14ac:dyDescent="0.25">
      <c r="A34" s="15">
        <f t="shared" si="3"/>
        <v>18</v>
      </c>
      <c r="B34" s="10">
        <f t="shared" si="4"/>
        <v>2049530.5232831701</v>
      </c>
      <c r="C34" s="17">
        <f t="shared" si="5"/>
        <v>31.588152109649862</v>
      </c>
      <c r="D34" s="10">
        <f t="shared" si="6"/>
        <v>64882.887614595827</v>
      </c>
      <c r="E34" s="10">
        <f t="shared" si="1"/>
        <v>856301.74587384681</v>
      </c>
      <c r="F34" s="17">
        <f t="shared" si="0"/>
        <v>33.799322757325349</v>
      </c>
      <c r="G34" s="16">
        <f t="shared" si="7"/>
        <v>7.4253887002855086</v>
      </c>
      <c r="H34" s="10">
        <f t="shared" si="8"/>
        <v>32467.729085160096</v>
      </c>
      <c r="I34" s="10">
        <f t="shared" si="9"/>
        <v>1097387.2545467257</v>
      </c>
      <c r="J34" s="10"/>
      <c r="K34" s="10">
        <f t="shared" si="10"/>
        <v>241085.50867287893</v>
      </c>
      <c r="L34" s="10">
        <f t="shared" si="11"/>
        <v>856301.7458738467</v>
      </c>
      <c r="M34" s="10">
        <f t="shared" si="12"/>
        <v>32415.158529435732</v>
      </c>
      <c r="N34" s="10">
        <f t="shared" si="13"/>
        <v>1095610.4053662661</v>
      </c>
      <c r="O34" s="27">
        <f t="shared" si="2"/>
        <v>0</v>
      </c>
    </row>
    <row r="35" spans="1:15" x14ac:dyDescent="0.25">
      <c r="A35" s="14">
        <f t="shared" si="3"/>
        <v>19</v>
      </c>
      <c r="B35" s="10">
        <f t="shared" si="4"/>
        <v>1095610.4053662661</v>
      </c>
      <c r="C35" s="16">
        <f t="shared" si="5"/>
        <v>33.799322757325349</v>
      </c>
      <c r="D35" s="10">
        <f t="shared" si="6"/>
        <v>32415.158529435732</v>
      </c>
      <c r="E35" s="10">
        <f t="shared" si="1"/>
        <v>907679.85062627774</v>
      </c>
      <c r="F35" s="16">
        <f t="shared" si="0"/>
        <v>36.165275350338128</v>
      </c>
      <c r="G35" s="16">
        <f t="shared" si="7"/>
        <v>8.1635659093054951</v>
      </c>
      <c r="H35" s="10">
        <f t="shared" si="8"/>
        <v>32415.158529436012</v>
      </c>
      <c r="I35" s="10">
        <f t="shared" si="9"/>
        <v>1172303.133741915</v>
      </c>
      <c r="J35" s="7"/>
      <c r="K35" s="7">
        <f t="shared" si="10"/>
        <v>264623.28311563708</v>
      </c>
      <c r="L35" s="7">
        <f t="shared" si="11"/>
        <v>907679.85062627797</v>
      </c>
      <c r="M35" s="7">
        <f t="shared" si="12"/>
        <v>-2.801243681460619E-10</v>
      </c>
      <c r="N35" s="7">
        <f t="shared" si="13"/>
        <v>-1.0130774906341816E-8</v>
      </c>
      <c r="O35" s="27">
        <f t="shared" si="2"/>
        <v>-1.0130774906341816E-8</v>
      </c>
    </row>
    <row r="36" spans="1:15" x14ac:dyDescent="0.25">
      <c r="A36" s="15">
        <f t="shared" si="3"/>
        <v>20</v>
      </c>
      <c r="B36" s="10">
        <f t="shared" si="4"/>
        <v>0</v>
      </c>
      <c r="C36" s="17">
        <f t="shared" si="5"/>
        <v>36.165275350338128</v>
      </c>
      <c r="D36" s="10">
        <f t="shared" si="6"/>
        <v>0</v>
      </c>
      <c r="E36" s="10">
        <f t="shared" si="1"/>
        <v>0</v>
      </c>
      <c r="F36" s="17">
        <f t="shared" si="0"/>
        <v>38.696844624861797</v>
      </c>
      <c r="G36" s="16">
        <f t="shared" si="7"/>
        <v>8.953415522956881</v>
      </c>
      <c r="H36" s="10">
        <f t="shared" si="8"/>
        <v>0</v>
      </c>
      <c r="I36" s="10">
        <f t="shared" si="9"/>
        <v>0</v>
      </c>
      <c r="J36" s="10"/>
      <c r="K36" s="10">
        <f t="shared" si="10"/>
        <v>0</v>
      </c>
      <c r="L36" s="10">
        <f t="shared" si="11"/>
        <v>0</v>
      </c>
      <c r="M36" s="10">
        <f t="shared" si="12"/>
        <v>0</v>
      </c>
      <c r="N36" s="10">
        <f t="shared" si="13"/>
        <v>0</v>
      </c>
      <c r="O36" s="27">
        <f t="shared" si="2"/>
        <v>0</v>
      </c>
    </row>
    <row r="37" spans="1:15" x14ac:dyDescent="0.25">
      <c r="A37" s="14">
        <f t="shared" si="3"/>
        <v>21</v>
      </c>
      <c r="B37" s="10">
        <f t="shared" si="4"/>
        <v>0</v>
      </c>
      <c r="C37" s="16">
        <f t="shared" si="5"/>
        <v>38.696844624861797</v>
      </c>
      <c r="D37" s="10">
        <f t="shared" si="6"/>
        <v>0</v>
      </c>
      <c r="E37" s="10">
        <f t="shared" si="1"/>
        <v>0</v>
      </c>
      <c r="F37" s="16">
        <f t="shared" si="0"/>
        <v>41.405623748602125</v>
      </c>
      <c r="G37" s="16">
        <f t="shared" si="7"/>
        <v>9.7985546095638636</v>
      </c>
      <c r="H37" s="10">
        <f t="shared" si="8"/>
        <v>0</v>
      </c>
      <c r="I37" s="10">
        <f t="shared" si="9"/>
        <v>0</v>
      </c>
      <c r="J37" s="7"/>
      <c r="K37" s="7">
        <f t="shared" si="10"/>
        <v>0</v>
      </c>
      <c r="L37" s="7">
        <f t="shared" si="11"/>
        <v>0</v>
      </c>
      <c r="M37" s="7">
        <f t="shared" si="12"/>
        <v>0</v>
      </c>
      <c r="N37" s="7">
        <f t="shared" si="13"/>
        <v>0</v>
      </c>
      <c r="O37" s="27">
        <f t="shared" si="2"/>
        <v>0</v>
      </c>
    </row>
    <row r="38" spans="1:15" x14ac:dyDescent="0.25">
      <c r="A38" s="15">
        <f t="shared" si="3"/>
        <v>22</v>
      </c>
      <c r="B38" s="10">
        <f t="shared" si="4"/>
        <v>0</v>
      </c>
      <c r="C38" s="17">
        <f t="shared" si="5"/>
        <v>41.405623748602125</v>
      </c>
      <c r="D38" s="10">
        <f t="shared" si="6"/>
        <v>0</v>
      </c>
      <c r="E38" s="10">
        <f t="shared" si="1"/>
        <v>0</v>
      </c>
      <c r="F38" s="17">
        <f t="shared" si="0"/>
        <v>44.304017411004267</v>
      </c>
      <c r="G38" s="16">
        <f t="shared" si="7"/>
        <v>10.702853432233331</v>
      </c>
      <c r="H38" s="10">
        <f t="shared" si="8"/>
        <v>0</v>
      </c>
      <c r="I38" s="10">
        <f t="shared" si="9"/>
        <v>0</v>
      </c>
      <c r="J38" s="10"/>
      <c r="K38" s="10">
        <f t="shared" si="10"/>
        <v>0</v>
      </c>
      <c r="L38" s="10">
        <f t="shared" si="11"/>
        <v>0</v>
      </c>
      <c r="M38" s="10">
        <f t="shared" si="12"/>
        <v>0</v>
      </c>
      <c r="N38" s="10">
        <f t="shared" si="13"/>
        <v>0</v>
      </c>
      <c r="O38" s="27">
        <f t="shared" si="2"/>
        <v>0</v>
      </c>
    </row>
    <row r="39" spans="1:15" x14ac:dyDescent="0.25">
      <c r="A39" s="14">
        <f t="shared" si="3"/>
        <v>23</v>
      </c>
      <c r="B39" s="10">
        <f t="shared" si="4"/>
        <v>0</v>
      </c>
      <c r="C39" s="16">
        <f t="shared" si="5"/>
        <v>44.304017411004267</v>
      </c>
      <c r="D39" s="10">
        <f t="shared" si="6"/>
        <v>0</v>
      </c>
      <c r="E39" s="10">
        <f t="shared" si="1"/>
        <v>0</v>
      </c>
      <c r="F39" s="16">
        <f t="shared" si="0"/>
        <v>47.40529862977457</v>
      </c>
      <c r="G39" s="16">
        <f t="shared" si="7"/>
        <v>11.670453172489665</v>
      </c>
      <c r="H39" s="10">
        <f t="shared" si="8"/>
        <v>0</v>
      </c>
      <c r="I39" s="10">
        <f t="shared" si="9"/>
        <v>0</v>
      </c>
      <c r="J39" s="7"/>
      <c r="K39" s="7">
        <f t="shared" si="10"/>
        <v>0</v>
      </c>
      <c r="L39" s="7">
        <f t="shared" si="11"/>
        <v>0</v>
      </c>
      <c r="M39" s="7">
        <f t="shared" si="12"/>
        <v>0</v>
      </c>
      <c r="N39" s="7">
        <f t="shared" si="13"/>
        <v>0</v>
      </c>
      <c r="O39" s="27">
        <f t="shared" si="2"/>
        <v>0</v>
      </c>
    </row>
    <row r="40" spans="1:15" x14ac:dyDescent="0.25">
      <c r="A40" s="15">
        <f t="shared" si="3"/>
        <v>24</v>
      </c>
      <c r="B40" s="10">
        <f t="shared" si="4"/>
        <v>0</v>
      </c>
      <c r="C40" s="17">
        <f t="shared" si="5"/>
        <v>47.40529862977457</v>
      </c>
      <c r="D40" s="10">
        <f t="shared" si="6"/>
        <v>0</v>
      </c>
      <c r="E40" s="10">
        <f t="shared" si="1"/>
        <v>0</v>
      </c>
      <c r="F40" s="17">
        <f t="shared" si="0"/>
        <v>50.723669533858796</v>
      </c>
      <c r="G40" s="16">
        <f t="shared" si="7"/>
        <v>12.705784894563944</v>
      </c>
      <c r="H40" s="10">
        <f t="shared" si="8"/>
        <v>0</v>
      </c>
      <c r="I40" s="10">
        <f t="shared" si="9"/>
        <v>0</v>
      </c>
      <c r="J40" s="10"/>
      <c r="K40" s="10">
        <f t="shared" si="10"/>
        <v>0</v>
      </c>
      <c r="L40" s="10">
        <f t="shared" si="11"/>
        <v>0</v>
      </c>
      <c r="M40" s="10">
        <f t="shared" si="12"/>
        <v>0</v>
      </c>
      <c r="N40" s="10">
        <f t="shared" si="13"/>
        <v>0</v>
      </c>
      <c r="O40" s="27">
        <f t="shared" si="2"/>
        <v>0</v>
      </c>
    </row>
    <row r="41" spans="1:15" x14ac:dyDescent="0.25">
      <c r="A41" s="14">
        <f t="shared" si="3"/>
        <v>25</v>
      </c>
      <c r="B41" s="10">
        <f t="shared" si="4"/>
        <v>0</v>
      </c>
      <c r="C41" s="16">
        <f t="shared" si="5"/>
        <v>50.723669533858796</v>
      </c>
      <c r="D41" s="10">
        <f t="shared" si="6"/>
        <v>0</v>
      </c>
      <c r="E41" s="10">
        <f t="shared" si="1"/>
        <v>0</v>
      </c>
      <c r="F41" s="16">
        <f t="shared" si="0"/>
        <v>54.274326401228912</v>
      </c>
      <c r="G41" s="16">
        <f t="shared" si="7"/>
        <v>13.81358983718342</v>
      </c>
      <c r="H41" s="10">
        <f t="shared" si="8"/>
        <v>0</v>
      </c>
      <c r="I41" s="10">
        <f t="shared" si="9"/>
        <v>0</v>
      </c>
      <c r="J41" s="7"/>
      <c r="K41" s="7">
        <f t="shared" si="10"/>
        <v>0</v>
      </c>
      <c r="L41" s="7">
        <f t="shared" si="11"/>
        <v>0</v>
      </c>
      <c r="M41" s="7">
        <f t="shared" si="12"/>
        <v>0</v>
      </c>
      <c r="N41" s="7">
        <f t="shared" si="13"/>
        <v>0</v>
      </c>
      <c r="O41" s="27">
        <f t="shared" si="2"/>
        <v>0</v>
      </c>
    </row>
    <row r="42" spans="1:15" x14ac:dyDescent="0.25">
      <c r="A42" s="15">
        <f t="shared" si="3"/>
        <v>26</v>
      </c>
      <c r="B42" s="10">
        <f t="shared" si="4"/>
        <v>0</v>
      </c>
      <c r="C42" s="17">
        <f t="shared" si="5"/>
        <v>54.274326401228912</v>
      </c>
      <c r="D42" s="10">
        <f t="shared" si="6"/>
        <v>0</v>
      </c>
      <c r="E42" s="10">
        <f t="shared" si="1"/>
        <v>0</v>
      </c>
      <c r="F42" s="17">
        <f t="shared" si="0"/>
        <v>58.07352924931493</v>
      </c>
      <c r="G42" s="16">
        <f t="shared" si="7"/>
        <v>14.998941125786258</v>
      </c>
      <c r="H42" s="10">
        <f t="shared" si="8"/>
        <v>0</v>
      </c>
      <c r="I42" s="10">
        <f t="shared" si="9"/>
        <v>0</v>
      </c>
      <c r="J42" s="10"/>
      <c r="K42" s="10">
        <f t="shared" si="10"/>
        <v>0</v>
      </c>
      <c r="L42" s="10">
        <f t="shared" si="11"/>
        <v>0</v>
      </c>
      <c r="M42" s="10">
        <f t="shared" si="12"/>
        <v>0</v>
      </c>
      <c r="N42" s="10">
        <f t="shared" si="13"/>
        <v>0</v>
      </c>
      <c r="O42" s="27">
        <f t="shared" si="2"/>
        <v>0</v>
      </c>
    </row>
    <row r="43" spans="1:15" x14ac:dyDescent="0.25">
      <c r="A43" s="14">
        <f t="shared" si="3"/>
        <v>27</v>
      </c>
      <c r="B43" s="10">
        <f t="shared" si="4"/>
        <v>0</v>
      </c>
      <c r="C43" s="16">
        <f t="shared" si="5"/>
        <v>58.07352924931493</v>
      </c>
      <c r="D43" s="10">
        <f t="shared" si="6"/>
        <v>0</v>
      </c>
      <c r="E43" s="10">
        <f t="shared" si="1"/>
        <v>0</v>
      </c>
      <c r="F43" s="16">
        <f t="shared" si="0"/>
        <v>62.138676296766988</v>
      </c>
      <c r="G43" s="16">
        <f t="shared" si="7"/>
        <v>16.2672670045913</v>
      </c>
      <c r="H43" s="10">
        <f t="shared" si="8"/>
        <v>0</v>
      </c>
      <c r="I43" s="10">
        <f t="shared" si="9"/>
        <v>0</v>
      </c>
      <c r="J43" s="7"/>
      <c r="K43" s="7">
        <f t="shared" si="10"/>
        <v>0</v>
      </c>
      <c r="L43" s="7">
        <f t="shared" si="11"/>
        <v>0</v>
      </c>
      <c r="M43" s="7">
        <f t="shared" si="12"/>
        <v>0</v>
      </c>
      <c r="N43" s="7">
        <f t="shared" si="13"/>
        <v>0</v>
      </c>
      <c r="O43" s="27">
        <f t="shared" si="2"/>
        <v>0</v>
      </c>
    </row>
    <row r="44" spans="1:15" x14ac:dyDescent="0.25">
      <c r="A44" s="15">
        <f t="shared" si="3"/>
        <v>28</v>
      </c>
      <c r="B44" s="10">
        <f t="shared" si="4"/>
        <v>0</v>
      </c>
      <c r="C44" s="17">
        <f t="shared" si="5"/>
        <v>62.138676296766988</v>
      </c>
      <c r="D44" s="10">
        <f t="shared" si="6"/>
        <v>0</v>
      </c>
      <c r="E44" s="10">
        <f t="shared" si="1"/>
        <v>0</v>
      </c>
      <c r="F44" s="17">
        <f t="shared" si="0"/>
        <v>66.488383637540664</v>
      </c>
      <c r="G44" s="16">
        <f t="shared" si="7"/>
        <v>17.624375694912686</v>
      </c>
      <c r="H44" s="10">
        <f t="shared" si="8"/>
        <v>0</v>
      </c>
      <c r="I44" s="10">
        <f t="shared" si="9"/>
        <v>0</v>
      </c>
      <c r="J44" s="10"/>
      <c r="K44" s="10">
        <f t="shared" si="10"/>
        <v>0</v>
      </c>
      <c r="L44" s="10">
        <f t="shared" si="11"/>
        <v>0</v>
      </c>
      <c r="M44" s="10">
        <f t="shared" si="12"/>
        <v>0</v>
      </c>
      <c r="N44" s="10">
        <f t="shared" si="13"/>
        <v>0</v>
      </c>
      <c r="O44" s="27">
        <f t="shared" si="2"/>
        <v>0</v>
      </c>
    </row>
    <row r="45" spans="1:15" x14ac:dyDescent="0.25">
      <c r="A45" s="14">
        <f t="shared" si="3"/>
        <v>29</v>
      </c>
      <c r="B45" s="10">
        <f t="shared" si="4"/>
        <v>0</v>
      </c>
      <c r="C45" s="16">
        <f t="shared" si="5"/>
        <v>66.488383637540664</v>
      </c>
      <c r="D45" s="10">
        <f t="shared" si="6"/>
        <v>0</v>
      </c>
      <c r="E45" s="10">
        <f t="shared" si="1"/>
        <v>0</v>
      </c>
      <c r="F45" s="16">
        <f t="shared" si="0"/>
        <v>71.142570492168517</v>
      </c>
      <c r="G45" s="16">
        <f t="shared" si="7"/>
        <v>19.076481993556577</v>
      </c>
      <c r="H45" s="10">
        <f t="shared" si="8"/>
        <v>0</v>
      </c>
      <c r="I45" s="10">
        <f t="shared" si="9"/>
        <v>0</v>
      </c>
      <c r="J45" s="7"/>
      <c r="K45" s="7">
        <f t="shared" si="10"/>
        <v>0</v>
      </c>
      <c r="L45" s="7">
        <f t="shared" si="11"/>
        <v>0</v>
      </c>
      <c r="M45" s="7">
        <f t="shared" si="12"/>
        <v>0</v>
      </c>
      <c r="N45" s="7">
        <f t="shared" si="13"/>
        <v>0</v>
      </c>
      <c r="O45" s="27">
        <f t="shared" si="2"/>
        <v>0</v>
      </c>
    </row>
    <row r="46" spans="1:15" x14ac:dyDescent="0.25">
      <c r="A46" s="1"/>
      <c r="B46" s="1"/>
      <c r="C46" s="1"/>
      <c r="D46" s="1"/>
      <c r="E46" s="1"/>
      <c r="F46" s="1"/>
      <c r="H46" s="54" t="s">
        <v>27</v>
      </c>
      <c r="I46" s="54"/>
      <c r="J46" s="54"/>
      <c r="K46" s="7">
        <f>SUM(K17:K45)+SUM(J17:J18)</f>
        <v>2117231.2360579502</v>
      </c>
      <c r="L46" s="55" t="s">
        <v>30</v>
      </c>
      <c r="M46" s="55"/>
      <c r="N46" s="7">
        <f>'Fixed deposit'!B14+'Fixed deposit'!D14/1.08^1-B17</f>
        <v>617216.45186857227</v>
      </c>
    </row>
    <row r="47" spans="1:15" x14ac:dyDescent="0.25">
      <c r="H47" s="1"/>
    </row>
  </sheetData>
  <sheetProtection sheet="1" objects="1" scenarios="1"/>
  <mergeCells count="4">
    <mergeCell ref="H46:J46"/>
    <mergeCell ref="L46:M46"/>
    <mergeCell ref="B14:N14"/>
    <mergeCell ref="B15:N15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Assumptions</vt:lpstr>
      <vt:lpstr>Fixed deposit</vt:lpstr>
      <vt:lpstr>Debt Fund Solver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2018-08-03T09:17:55Z</dcterms:modified>
</cp:coreProperties>
</file>